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00" activeTab="2"/>
  </bookViews>
  <sheets>
    <sheet name="смета" sheetId="1" r:id="rId1"/>
    <sheet name="Приложение 1" sheetId="2" r:id="rId2"/>
    <sheet name="Лист3" sheetId="3" r:id="rId3"/>
  </sheets>
  <definedNames>
    <definedName name="_xlnm_Print_Area" localSheetId="0">'смета'!$A$1:$H$40</definedName>
    <definedName name="Excel_BuiltIn_Print_Area" localSheetId="0">'смета'!$A$1:$H$40</definedName>
    <definedName name="_xlnm.Print_Area" localSheetId="1">'Приложение 1'!$A$1:$G$101</definedName>
    <definedName name="_xlnm.Print_Area" localSheetId="0">'смета'!$A$1:$H$38</definedName>
  </definedNames>
  <calcPr fullCalcOnLoad="1"/>
</workbook>
</file>

<file path=xl/sharedStrings.xml><?xml version="1.0" encoding="utf-8"?>
<sst xmlns="http://schemas.openxmlformats.org/spreadsheetml/2006/main" count="239" uniqueCount="213">
  <si>
    <t xml:space="preserve"> I . Расчет взносов на содержание и управление</t>
  </si>
  <si>
    <t>№ п/п</t>
  </si>
  <si>
    <t>Источник финансирования</t>
  </si>
  <si>
    <t>План</t>
  </si>
  <si>
    <t xml:space="preserve">Общая площадь помещений, м.кв. </t>
  </si>
  <si>
    <t>Источник поступления</t>
  </si>
  <si>
    <t>В месяц (руб.)</t>
  </si>
  <si>
    <t>В год (руб.)</t>
  </si>
  <si>
    <t>В пересчете на кв.м. в месяц</t>
  </si>
  <si>
    <t>Членские взносы и взносы собственников квартир</t>
  </si>
  <si>
    <t>Поступления от членов ТСЖ и собственников квартир</t>
  </si>
  <si>
    <t>Прочие доходы</t>
  </si>
  <si>
    <t>Итого за год:</t>
  </si>
  <si>
    <t>Расходы на содержание и управление</t>
  </si>
  <si>
    <t>Статьи затрат</t>
  </si>
  <si>
    <t>Способ закрытия затрат</t>
  </si>
  <si>
    <t>I. Административно-управленческие расходы</t>
  </si>
  <si>
    <t>Налоги с ФОТ (30,2%)</t>
  </si>
  <si>
    <t>Прочие расходы</t>
  </si>
  <si>
    <t>Аренда земельного участка</t>
  </si>
  <si>
    <t>Итого по разделу I:</t>
  </si>
  <si>
    <t>II. Расходы по техническому обслуживанию, содержанию и ремонту  общедомового имущества МКД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</si>
  <si>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</si>
  <si>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</si>
  <si>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</si>
  <si>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3</t>
  </si>
  <si>
    <t>Содержание помещений общего пользования</t>
  </si>
  <si>
    <t>4</t>
  </si>
  <si>
    <t>Уборка земельного участка, входящего в состав общего имущества в многоквартирном доме</t>
  </si>
  <si>
    <t>5</t>
  </si>
  <si>
    <t>Аварийное обслуживание</t>
  </si>
  <si>
    <t>6</t>
  </si>
  <si>
    <t>Содержание объектов внешнего благоустройства (малые формы, озеленение)</t>
  </si>
  <si>
    <t>7</t>
  </si>
  <si>
    <t>Обслуживание прочего ОДИ</t>
  </si>
  <si>
    <t>Итого по разделу II:</t>
  </si>
  <si>
    <t>III. Прочие расходы.</t>
  </si>
  <si>
    <t>1</t>
  </si>
  <si>
    <t>Итого по разделу III:</t>
  </si>
  <si>
    <t xml:space="preserve">Предельный размер обязательных платежей: руб.  с 1 кв.м. </t>
  </si>
  <si>
    <t xml:space="preserve">
Содержание затрат по статьям: см. Приложение №1
</t>
  </si>
  <si>
    <t>В целях эффективности утвердить возможность перераспределения денежных средств между статьями расходов</t>
  </si>
  <si>
    <t>Наименование</t>
  </si>
  <si>
    <t>Примечание</t>
  </si>
  <si>
    <t>Ежемесячное вознаграждение председателя правления товарищества</t>
  </si>
  <si>
    <r>
      <rPr>
        <sz val="12"/>
        <color indexed="8"/>
        <rFont val="Times New Roman"/>
        <family val="1"/>
      </rPr>
      <t xml:space="preserve">ФОТ </t>
    </r>
    <r>
      <rPr>
        <sz val="12"/>
        <color indexed="8"/>
        <rFont val="Times New Roman"/>
        <family val="1"/>
      </rPr>
      <t>(АУП: Управляющий, гл.бухгалтер, энергетик, инженер)</t>
    </r>
  </si>
  <si>
    <t>Расшифровка расходов представлена ниже 4. Прочие расходы (разд.1)</t>
  </si>
  <si>
    <t>Налоговые обязательства ТСН (УСН, окр.ср. И пр.)</t>
  </si>
  <si>
    <t>Итого:</t>
  </si>
  <si>
    <t>4. Прочие расходы (разд.1)</t>
  </si>
  <si>
    <t>4.1</t>
  </si>
  <si>
    <t xml:space="preserve">Юридические услуги </t>
  </si>
  <si>
    <t xml:space="preserve">Договор </t>
  </si>
  <si>
    <t>4.2</t>
  </si>
  <si>
    <t>Банковское обслуживание</t>
  </si>
  <si>
    <t>4.3</t>
  </si>
  <si>
    <t>Услуги аудитора (ревизионная проверка)</t>
  </si>
  <si>
    <t>4.4</t>
  </si>
  <si>
    <t xml:space="preserve">Услуги по сопровождению за негативное воздействие окружающей среды </t>
  </si>
  <si>
    <t>4.5</t>
  </si>
  <si>
    <t>Обслуживание  программных продуктов Инфокрафт, СБИС</t>
  </si>
  <si>
    <t>4.6</t>
  </si>
  <si>
    <t>Расходы по оплате доменного имени и хостинга</t>
  </si>
  <si>
    <t>4.7</t>
  </si>
  <si>
    <t>Расходы по уплате госпошлин</t>
  </si>
  <si>
    <t>4.8</t>
  </si>
  <si>
    <t>Канцелярские расходы</t>
  </si>
  <si>
    <t>4.9</t>
  </si>
  <si>
    <t xml:space="preserve">Услуги связи </t>
  </si>
  <si>
    <t>4.10</t>
  </si>
  <si>
    <t xml:space="preserve">Почтовые расходы </t>
  </si>
  <si>
    <t>4.11</t>
  </si>
  <si>
    <t xml:space="preserve">Ремонт и обслуживание оргтехники </t>
  </si>
  <si>
    <t>Питьевая вода для офиса</t>
  </si>
  <si>
    <t>Профессиональная подготовка</t>
  </si>
  <si>
    <t>Дезинфекция</t>
  </si>
  <si>
    <t>Услуги по информационному обеспечению, размещение вакансий и т. д.</t>
  </si>
  <si>
    <t>Раздел 2 (расшифровка)</t>
  </si>
  <si>
    <t>Налоги с ФОТ  30,2%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</si>
  <si>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</si>
  <si>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</si>
  <si>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 ФОТ (Слесарь-сантехник, электромонтер)</t>
  </si>
  <si>
    <t>2.2</t>
  </si>
  <si>
    <t>2.3</t>
  </si>
  <si>
    <t xml:space="preserve">Техническое освидетельствование лифтов </t>
  </si>
  <si>
    <t>2.4</t>
  </si>
  <si>
    <t xml:space="preserve">Обслуживание автоматической противопожарной защиты </t>
  </si>
  <si>
    <t>2.5</t>
  </si>
  <si>
    <t xml:space="preserve">Проверка вентканалов </t>
  </si>
  <si>
    <t>2.6</t>
  </si>
  <si>
    <t>2.7</t>
  </si>
  <si>
    <t>Обслуживание  видео наблюдения и шлагбаума</t>
  </si>
  <si>
    <t>2.8</t>
  </si>
  <si>
    <t>2.9</t>
  </si>
  <si>
    <t xml:space="preserve">Ремонт входной группы </t>
  </si>
  <si>
    <t>2.10</t>
  </si>
  <si>
    <t>Проверка приборов КИПиА</t>
  </si>
  <si>
    <t>2.11</t>
  </si>
  <si>
    <t xml:space="preserve"> Страхование лифтов </t>
  </si>
  <si>
    <t>2.12</t>
  </si>
  <si>
    <t xml:space="preserve">Расходные электро материалы </t>
  </si>
  <si>
    <t>2.13</t>
  </si>
  <si>
    <t xml:space="preserve">Прочие хоз.материалы </t>
  </si>
  <si>
    <t>2.14</t>
  </si>
  <si>
    <t>Приобретение и регулировка доводчиков</t>
  </si>
  <si>
    <t>3.Содержание помещений общего пользования</t>
  </si>
  <si>
    <t>3.1</t>
  </si>
  <si>
    <t>ФОТ уборщицы МОП</t>
  </si>
  <si>
    <t>3.2</t>
  </si>
  <si>
    <t>3.3</t>
  </si>
  <si>
    <t>Моющие средства (Бытовая химия, тряпки и прочие средства для уборки)</t>
  </si>
  <si>
    <t>4.Уборка и благоустройство земельного участка, входящего в состав общего имущества в многоквартирном доме</t>
  </si>
  <si>
    <t xml:space="preserve">Очистка территории спецтехникой (в зимний период) </t>
  </si>
  <si>
    <t xml:space="preserve">Приобретение противогололедного материала </t>
  </si>
  <si>
    <t>5.Аварийное обслуживание</t>
  </si>
  <si>
    <t>5.1</t>
  </si>
  <si>
    <t xml:space="preserve">Аварийное обслуживание </t>
  </si>
  <si>
    <t>5.2</t>
  </si>
  <si>
    <t xml:space="preserve">Непредвиденные аварийные работы </t>
  </si>
  <si>
    <t>6.Содержание объектов внешнего благоустройства (малые формы, озеленение)</t>
  </si>
  <si>
    <t>6.1</t>
  </si>
  <si>
    <t xml:space="preserve">Благоустройство, озеленение </t>
  </si>
  <si>
    <t>6.2</t>
  </si>
  <si>
    <t>Садовый инвентарь</t>
  </si>
  <si>
    <t>6.3</t>
  </si>
  <si>
    <t>Газонное, хвойное удобрение</t>
  </si>
  <si>
    <t>7.Обслуживание прочего ОДИ</t>
  </si>
  <si>
    <t>7.1</t>
  </si>
  <si>
    <t xml:space="preserve">Демеркуризация светодиодных  ламп </t>
  </si>
  <si>
    <t>7.2</t>
  </si>
  <si>
    <t>Всего по разделу II</t>
  </si>
  <si>
    <t>III Прочие расходы</t>
  </si>
  <si>
    <t>1.</t>
  </si>
  <si>
    <t>Сверхнормативные объемы эл.энергии</t>
  </si>
  <si>
    <t>2.</t>
  </si>
  <si>
    <t>Непредвиденные нужды</t>
  </si>
  <si>
    <t>Ремонт фасада</t>
  </si>
  <si>
    <t>Всего по разделу I, II,III</t>
  </si>
  <si>
    <t>Унифицированная форма N Т-3</t>
  </si>
  <si>
    <t>Утверждена постановлением Госкомстата России</t>
  </si>
  <si>
    <t>от 05.01.2004 N 1</t>
  </si>
  <si>
    <t>Товарищество собственников недвижимости «На Глазкова»</t>
  </si>
  <si>
    <t>наименование организации</t>
  </si>
  <si>
    <t>Номер документа</t>
  </si>
  <si>
    <t>Дата составления</t>
  </si>
  <si>
    <t>ШТАТНОЕ РАСПИСАНИЕ</t>
  </si>
  <si>
    <t>УТВЕРЖДЕНО Решением общего собрания членов ТСН «На Глазкова» (Протокол №___ от ______)</t>
  </si>
  <si>
    <t>г. N</t>
  </si>
  <si>
    <t>на период</t>
  </si>
  <si>
    <t xml:space="preserve">С " ___ "  </t>
  </si>
  <si>
    <t>Штат в количестве (единиц)</t>
  </si>
  <si>
    <t>Структурное подразделение</t>
  </si>
  <si>
    <t>Должность (специальность, профессия), разряд, класс (категория) квалификации</t>
  </si>
  <si>
    <t>Кол-во штатных единиц</t>
  </si>
  <si>
    <t>Тарифная ставка (оклад) и пр., руб.</t>
  </si>
  <si>
    <t>Надбавки, руб.</t>
  </si>
  <si>
    <t>Всего, руб.</t>
  </si>
  <si>
    <t>наименование</t>
  </si>
  <si>
    <t>код</t>
  </si>
  <si>
    <t>(гр.5 +гр.6+гр.7+гр.8) х гр.4</t>
  </si>
  <si>
    <t>АУП</t>
  </si>
  <si>
    <t>Управляющий</t>
  </si>
  <si>
    <t>Главный бухгалтер</t>
  </si>
  <si>
    <t xml:space="preserve"> Энергетик</t>
  </si>
  <si>
    <t>Инженер</t>
  </si>
  <si>
    <t>итого по АУП:</t>
  </si>
  <si>
    <t>Эксплуатация</t>
  </si>
  <si>
    <t>Слесарь - сантехник</t>
  </si>
  <si>
    <t>Электромонтер</t>
  </si>
  <si>
    <t>Уборщик (ца) общего имущества</t>
  </si>
  <si>
    <t>итого по эксплуатации:</t>
  </si>
  <si>
    <t>Всего:</t>
  </si>
  <si>
    <r>
      <rPr>
        <b/>
        <sz val="10"/>
        <color indexed="8"/>
        <rFont val="Arial"/>
        <family val="2"/>
      </rPr>
      <t xml:space="preserve"> Председатель правления ТСН «На Глазкова»  </t>
    </r>
    <r>
      <rPr>
        <sz val="10"/>
        <color indexed="8"/>
        <rFont val="Arial"/>
        <family val="2"/>
      </rPr>
      <t>________________________ Чечик Е.И.</t>
    </r>
  </si>
  <si>
    <t xml:space="preserve">                                                      </t>
  </si>
  <si>
    <t>личная подпись</t>
  </si>
  <si>
    <t>Приобретение шлагбаума</t>
  </si>
  <si>
    <t>согласно предложениям</t>
  </si>
  <si>
    <t>Налог с ФОТ 30,2%</t>
  </si>
  <si>
    <t xml:space="preserve">Замена системы видеонаблюдения </t>
  </si>
  <si>
    <t xml:space="preserve">ПРОЕКТ СМЕТЫ НА </t>
  </si>
  <si>
    <t>Проведение огнезащитной обработки металических конструкций(каналов, приточных систем для обеспечения предела огнестойкости Е 120)</t>
  </si>
  <si>
    <t>Демонтаж сгораемого утеплителя и монтаж негорючего материала на наружной стене вент.камеры в доме 2</t>
  </si>
  <si>
    <t>Ремонт насосов на ГВС (2 шт. дом 2) (1 шт. дом 1)</t>
  </si>
  <si>
    <t>2,6,1</t>
  </si>
  <si>
    <t>2,6,2</t>
  </si>
  <si>
    <t>2,6,3</t>
  </si>
  <si>
    <t xml:space="preserve">Замена манометров 30 шт </t>
  </si>
  <si>
    <t xml:space="preserve">Замена трехходовых кранов 30 шт </t>
  </si>
  <si>
    <t>2,6,5</t>
  </si>
  <si>
    <t xml:space="preserve">Промывка теплообменников </t>
  </si>
  <si>
    <t>2,6,6</t>
  </si>
  <si>
    <t>Обслуживание теплового узла (Настройка приборов,автоиматики)</t>
  </si>
  <si>
    <t>2,6,7</t>
  </si>
  <si>
    <t xml:space="preserve"> Расходные материалы</t>
  </si>
  <si>
    <t>Приобретение Принтера</t>
  </si>
  <si>
    <t>Содержание теплового узла в том  числе:</t>
  </si>
  <si>
    <t>Услуги по уборке придомофой территории , дворники</t>
  </si>
  <si>
    <t>Ремонт дверей (коробки ,пожарный выход)</t>
  </si>
  <si>
    <t>Работы по противопожарным услугам в том числе:</t>
  </si>
  <si>
    <t xml:space="preserve">на 2023 год с ЗП в рамках лицензирования </t>
  </si>
  <si>
    <t>Целевой взнос на год или включить в определенные месяца</t>
  </si>
  <si>
    <t xml:space="preserve">С 1 М2 один раз в месяц </t>
  </si>
  <si>
    <t>С 1 М2 на три месяца</t>
  </si>
  <si>
    <t>С 1 М2 на 6 месяцев</t>
  </si>
  <si>
    <t>Прочистка канализационных, кухонных канализационных сантехнических стояков</t>
  </si>
  <si>
    <t xml:space="preserve">Замена стальных труб ХВС на ПП </t>
  </si>
  <si>
    <t>Рукасуев В.В.</t>
  </si>
  <si>
    <t>Приказом организации № ___  от "___"  ___________ 2023 г.</t>
  </si>
  <si>
    <t>Установка противопожарных дверей и люков(машинное отделение)</t>
  </si>
  <si>
    <r>
      <rPr>
        <sz val="14"/>
        <color indexed="10"/>
        <rFont val="Times New Roman"/>
        <family val="1"/>
      </rPr>
      <t xml:space="preserve">Тариф 32,75 </t>
    </r>
    <r>
      <rPr>
        <sz val="14"/>
        <color indexed="8"/>
        <rFont val="Times New Roman"/>
        <family val="1"/>
      </rPr>
      <t>=6963950,10/17720,60м2/12</t>
    </r>
  </si>
  <si>
    <t>Проект сметы на 2023 год</t>
  </si>
  <si>
    <t>СМЕТА доходов и расходов ТСН «На Глазкова» на 2023 год.</t>
  </si>
  <si>
    <t>Проект штатного Расписания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</si>
</sst>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  <numFmt numFmtId="165" formatCode="dd/mm/yy"/>
    <numFmt numFmtId="166" formatCode="[$-FC19]d\ mmmm\ yyyy\ &quot;г.&quot;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wrapText="1"/>
    </xf>
    <xf numFmtId="2" fontId="8" fillId="0" borderId="11" xfId="0" applyNumberFormat="1" applyFont="1" applyBorder="1" applyAlignment="1">
      <alignment/>
    </xf>
    <xf numFmtId="164" fontId="9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vertical="center" wrapText="1"/>
    </xf>
    <xf numFmtId="2" fontId="9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164" fontId="9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/>
    </xf>
    <xf numFmtId="2" fontId="6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4" fontId="9" fillId="36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165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horizontal="right"/>
    </xf>
    <xf numFmtId="0" fontId="14" fillId="0" borderId="12" xfId="52" applyFont="1" applyFill="1" applyBorder="1" applyAlignment="1">
      <alignment wrapText="1"/>
      <protection/>
    </xf>
    <xf numFmtId="0" fontId="8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4" fontId="9" fillId="36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4" fontId="9" fillId="35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4" fontId="9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8" fillId="37" borderId="10" xfId="0" applyFont="1" applyFill="1" applyBorder="1" applyAlignment="1">
      <alignment/>
    </xf>
    <xf numFmtId="0" fontId="9" fillId="37" borderId="10" xfId="0" applyFont="1" applyFill="1" applyBorder="1" applyAlignment="1">
      <alignment wrapText="1"/>
    </xf>
    <xf numFmtId="4" fontId="9" fillId="37" borderId="10" xfId="0" applyNumberFormat="1" applyFont="1" applyFill="1" applyBorder="1" applyAlignment="1">
      <alignment/>
    </xf>
    <xf numFmtId="0" fontId="8" fillId="37" borderId="10" xfId="0" applyFont="1" applyFill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164" fontId="6" fillId="38" borderId="11" xfId="0" applyNumberFormat="1" applyFont="1" applyFill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2" fontId="17" fillId="0" borderId="0" xfId="0" applyNumberFormat="1" applyFont="1" applyAlignment="1">
      <alignment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9" fillId="0" borderId="2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left"/>
    </xf>
    <xf numFmtId="0" fontId="28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" fontId="14" fillId="39" borderId="10" xfId="0" applyNumberFormat="1" applyFont="1" applyFill="1" applyBorder="1" applyAlignment="1">
      <alignment horizontal="right" vertical="center" wrapText="1"/>
    </xf>
    <xf numFmtId="4" fontId="8" fillId="39" borderId="10" xfId="0" applyNumberFormat="1" applyFont="1" applyFill="1" applyBorder="1" applyAlignment="1">
      <alignment/>
    </xf>
    <xf numFmtId="4" fontId="8" fillId="39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4" fontId="8" fillId="39" borderId="10" xfId="0" applyNumberFormat="1" applyFont="1" applyFill="1" applyBorder="1" applyAlignment="1">
      <alignment horizontal="right"/>
    </xf>
    <xf numFmtId="4" fontId="8" fillId="39" borderId="10" xfId="0" applyNumberFormat="1" applyFont="1" applyFill="1" applyBorder="1" applyAlignment="1">
      <alignment horizontal="right" wrapText="1"/>
    </xf>
    <xf numFmtId="4" fontId="8" fillId="39" borderId="13" xfId="0" applyNumberFormat="1" applyFont="1" applyFill="1" applyBorder="1" applyAlignment="1">
      <alignment horizontal="right"/>
    </xf>
    <xf numFmtId="4" fontId="8" fillId="39" borderId="27" xfId="0" applyNumberFormat="1" applyFont="1" applyFill="1" applyBorder="1" applyAlignment="1">
      <alignment/>
    </xf>
    <xf numFmtId="3" fontId="8" fillId="39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8" fillId="39" borderId="10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/>
    </xf>
    <xf numFmtId="0" fontId="8" fillId="39" borderId="10" xfId="0" applyFont="1" applyFill="1" applyBorder="1" applyAlignment="1">
      <alignment horizontal="right"/>
    </xf>
    <xf numFmtId="4" fontId="9" fillId="40" borderId="10" xfId="0" applyNumberFormat="1" applyFont="1" applyFill="1" applyBorder="1" applyAlignment="1">
      <alignment/>
    </xf>
    <xf numFmtId="4" fontId="8" fillId="41" borderId="10" xfId="0" applyNumberFormat="1" applyFont="1" applyFill="1" applyBorder="1" applyAlignment="1">
      <alignment horizontal="right" vertical="center" wrapText="1"/>
    </xf>
    <xf numFmtId="4" fontId="14" fillId="41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4" fontId="4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4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top" indent="15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 wrapText="1"/>
    </xf>
    <xf numFmtId="0" fontId="9" fillId="43" borderId="28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3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right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A9A9A9"/>
      <rgbColor rgb="00993366"/>
      <rgbColor rgb="00F5F5D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DCDC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75" zoomScaleNormal="75" zoomScalePageLayoutView="0" workbookViewId="0" topLeftCell="A13">
      <selection activeCell="A41" sqref="A41:H41"/>
    </sheetView>
  </sheetViews>
  <sheetFormatPr defaultColWidth="8.7109375" defaultRowHeight="15"/>
  <cols>
    <col min="1" max="1" width="8.8515625" style="1" customWidth="1"/>
    <col min="2" max="2" width="6.00390625" style="1" customWidth="1"/>
    <col min="3" max="3" width="27.00390625" style="1" customWidth="1"/>
    <col min="4" max="4" width="23.57421875" style="1" customWidth="1"/>
    <col min="5" max="5" width="21.421875" style="2" customWidth="1"/>
    <col min="6" max="8" width="27.421875" style="1" customWidth="1"/>
    <col min="9" max="254" width="8.8515625" style="1" customWidth="1"/>
  </cols>
  <sheetData>
    <row r="1" spans="5:8" ht="67.5" customHeight="1">
      <c r="E1" s="3"/>
      <c r="F1" s="3"/>
      <c r="G1" s="138" t="s">
        <v>210</v>
      </c>
      <c r="H1" s="138"/>
    </row>
    <row r="2" spans="4:8" ht="44.25" customHeight="1">
      <c r="D2" s="4"/>
      <c r="E2" s="5"/>
      <c r="F2" s="5"/>
      <c r="G2" s="139"/>
      <c r="H2" s="139"/>
    </row>
    <row r="3" spans="4:8" ht="44.25" customHeight="1">
      <c r="D3" s="4"/>
      <c r="E3" s="5"/>
      <c r="F3" s="5"/>
      <c r="G3" s="5"/>
      <c r="H3" s="5"/>
    </row>
    <row r="4" spans="2:8" ht="22.5">
      <c r="B4" s="140" t="s">
        <v>211</v>
      </c>
      <c r="C4" s="140"/>
      <c r="D4" s="140"/>
      <c r="E4" s="140"/>
      <c r="F4" s="140"/>
      <c r="G4" s="140"/>
      <c r="H4" s="140"/>
    </row>
    <row r="5" ht="15">
      <c r="B5" s="6"/>
    </row>
    <row r="6" spans="2:8" ht="31.5" customHeight="1">
      <c r="B6" s="141" t="s">
        <v>0</v>
      </c>
      <c r="C6" s="141"/>
      <c r="D6" s="141"/>
      <c r="E6" s="141"/>
      <c r="F6" s="141"/>
      <c r="G6" s="141"/>
      <c r="H6" s="141"/>
    </row>
    <row r="7" spans="2:8" ht="15" customHeight="1">
      <c r="B7" s="142" t="s">
        <v>1</v>
      </c>
      <c r="C7" s="142" t="s">
        <v>2</v>
      </c>
      <c r="D7" s="142" t="s">
        <v>3</v>
      </c>
      <c r="E7" s="142"/>
      <c r="F7" s="142"/>
      <c r="G7" s="142" t="s">
        <v>4</v>
      </c>
      <c r="H7" s="142" t="s">
        <v>5</v>
      </c>
    </row>
    <row r="8" spans="2:8" ht="30" customHeight="1">
      <c r="B8" s="142"/>
      <c r="C8" s="142"/>
      <c r="D8" s="7" t="s">
        <v>6</v>
      </c>
      <c r="E8" s="8" t="s">
        <v>7</v>
      </c>
      <c r="F8" s="7" t="s">
        <v>8</v>
      </c>
      <c r="G8" s="142"/>
      <c r="H8" s="142"/>
    </row>
    <row r="9" spans="2:8" ht="95.25" customHeight="1">
      <c r="B9" s="9">
        <v>1</v>
      </c>
      <c r="C9" s="10" t="s">
        <v>9</v>
      </c>
      <c r="D9" s="11">
        <f>E9/12</f>
        <v>580329.1749999999</v>
      </c>
      <c r="E9" s="11">
        <v>6963950.1</v>
      </c>
      <c r="F9" s="12">
        <v>32.75</v>
      </c>
      <c r="G9" s="12">
        <v>17720.6</v>
      </c>
      <c r="H9" s="13" t="s">
        <v>10</v>
      </c>
    </row>
    <row r="10" spans="2:8" ht="15">
      <c r="B10" s="10">
        <v>2</v>
      </c>
      <c r="C10" s="10" t="s">
        <v>11</v>
      </c>
      <c r="D10" s="14"/>
      <c r="E10" s="15"/>
      <c r="F10" s="16"/>
      <c r="G10" s="16"/>
      <c r="H10" s="13"/>
    </row>
    <row r="11" spans="2:8" ht="15" customHeight="1">
      <c r="B11" s="143" t="s">
        <v>12</v>
      </c>
      <c r="C11" s="143"/>
      <c r="D11" s="9"/>
      <c r="E11" s="17">
        <f>SUM(E9)</f>
        <v>6963950.1</v>
      </c>
      <c r="F11" s="12">
        <f>F9</f>
        <v>32.75</v>
      </c>
      <c r="G11" s="12"/>
      <c r="H11" s="13"/>
    </row>
    <row r="12" spans="2:8" ht="15" customHeight="1">
      <c r="B12" s="141" t="s">
        <v>13</v>
      </c>
      <c r="C12" s="141"/>
      <c r="D12" s="141"/>
      <c r="E12" s="141"/>
      <c r="F12" s="141"/>
      <c r="G12" s="141"/>
      <c r="H12" s="141"/>
    </row>
    <row r="13" spans="2:8" ht="28.5" customHeight="1">
      <c r="B13" s="7" t="s">
        <v>1</v>
      </c>
      <c r="C13" s="7" t="s">
        <v>14</v>
      </c>
      <c r="D13" s="7"/>
      <c r="E13" s="8"/>
      <c r="F13" s="7"/>
      <c r="G13" s="7"/>
      <c r="H13" s="7" t="s">
        <v>15</v>
      </c>
    </row>
    <row r="14" spans="2:8" ht="31.5" customHeight="1">
      <c r="B14" s="144" t="s">
        <v>16</v>
      </c>
      <c r="C14" s="144"/>
      <c r="D14" s="144"/>
      <c r="E14" s="144"/>
      <c r="F14" s="144"/>
      <c r="G14" s="144"/>
      <c r="H14" s="144"/>
    </row>
    <row r="15" spans="2:8" ht="63" customHeight="1">
      <c r="B15" s="10">
        <v>1</v>
      </c>
      <c r="C15" s="13" t="str">
        <f>'Приложение 1'!C8</f>
        <v>Ежемесячное вознаграждение председателя правления товарищества</v>
      </c>
      <c r="D15" s="18">
        <f aca="true" t="shared" si="0" ref="D15:D20">E15/12</f>
        <v>16800</v>
      </c>
      <c r="E15" s="18">
        <f>'Приложение 1'!D8</f>
        <v>201600</v>
      </c>
      <c r="F15" s="19">
        <f>D15/G9</f>
        <v>0.9480491631208876</v>
      </c>
      <c r="G15" s="145"/>
      <c r="H15" s="146" t="s">
        <v>9</v>
      </c>
    </row>
    <row r="16" spans="2:8" ht="49.5" customHeight="1">
      <c r="B16" s="10">
        <v>2</v>
      </c>
      <c r="C16" s="13" t="str">
        <f>'Приложение 1'!C9</f>
        <v>ФОТ (АУП: Управляющий, гл.бухгалтер, энергетик, инженер)</v>
      </c>
      <c r="D16" s="18">
        <f t="shared" si="0"/>
        <v>102045.44</v>
      </c>
      <c r="E16" s="18">
        <f>'Приложение 1'!D9</f>
        <v>1224545.28</v>
      </c>
      <c r="F16" s="19">
        <f>D16/G9</f>
        <v>5.7585770233513545</v>
      </c>
      <c r="G16" s="145"/>
      <c r="H16" s="146"/>
    </row>
    <row r="17" spans="2:8" ht="15">
      <c r="B17" s="10">
        <v>3</v>
      </c>
      <c r="C17" s="13" t="s">
        <v>17</v>
      </c>
      <c r="D17" s="18">
        <f t="shared" si="0"/>
        <v>30817.72288</v>
      </c>
      <c r="E17" s="18">
        <f>'Приложение 1'!D10</f>
        <v>369812.67456</v>
      </c>
      <c r="F17" s="19">
        <f>D17/G9</f>
        <v>1.739090261052109</v>
      </c>
      <c r="G17" s="145"/>
      <c r="H17" s="146"/>
    </row>
    <row r="18" spans="2:8" ht="15">
      <c r="B18" s="10">
        <v>4</v>
      </c>
      <c r="C18" s="13" t="s">
        <v>18</v>
      </c>
      <c r="D18" s="18">
        <f t="shared" si="0"/>
        <v>43020.333333333336</v>
      </c>
      <c r="E18" s="18">
        <f>'Приложение 1'!D11</f>
        <v>516244</v>
      </c>
      <c r="F18" s="19">
        <f>D18/G9</f>
        <v>2.4277018460623987</v>
      </c>
      <c r="G18" s="145"/>
      <c r="H18" s="146"/>
    </row>
    <row r="19" spans="2:8" ht="35.25" customHeight="1">
      <c r="B19" s="10">
        <v>5</v>
      </c>
      <c r="C19" s="13" t="str">
        <f>'Приложение 1'!C12</f>
        <v>Налоговые обязательства ТСН (УСН, окр.ср. И пр.)</v>
      </c>
      <c r="D19" s="18">
        <f t="shared" si="0"/>
        <v>21298.583333333332</v>
      </c>
      <c r="E19" s="18">
        <f>'Приложение 1'!D12</f>
        <v>255583</v>
      </c>
      <c r="F19" s="19">
        <f>D19/G9</f>
        <v>1.2019109586206638</v>
      </c>
      <c r="G19" s="145"/>
      <c r="H19" s="146"/>
    </row>
    <row r="20" spans="2:8" ht="30.75">
      <c r="B20" s="10">
        <v>6</v>
      </c>
      <c r="C20" s="13" t="s">
        <v>19</v>
      </c>
      <c r="D20" s="18">
        <f t="shared" si="0"/>
        <v>4400</v>
      </c>
      <c r="E20" s="18">
        <f>'Приложение 1'!D13</f>
        <v>52800</v>
      </c>
      <c r="F20" s="19">
        <f>D20/G9</f>
        <v>0.24829859034118484</v>
      </c>
      <c r="G20" s="145"/>
      <c r="H20" s="146"/>
    </row>
    <row r="21" spans="2:11" ht="15" customHeight="1">
      <c r="B21" s="147" t="s">
        <v>20</v>
      </c>
      <c r="C21" s="147"/>
      <c r="D21" s="20">
        <f>SUM(D15:D20)</f>
        <v>218382.0795466667</v>
      </c>
      <c r="E21" s="20">
        <f>SUM(E15:E20)</f>
        <v>2620584.95456</v>
      </c>
      <c r="F21" s="21">
        <f>SUM(F15:F20)</f>
        <v>12.323627842548596</v>
      </c>
      <c r="G21" s="21"/>
      <c r="H21" s="22"/>
      <c r="K21" s="23"/>
    </row>
    <row r="22" spans="2:8" ht="15" customHeight="1">
      <c r="B22" s="143"/>
      <c r="C22" s="143"/>
      <c r="D22" s="9"/>
      <c r="E22" s="8"/>
      <c r="F22" s="7"/>
      <c r="G22" s="7"/>
      <c r="H22" s="13"/>
    </row>
    <row r="23" spans="2:8" ht="47.25" customHeight="1">
      <c r="B23" s="141" t="s">
        <v>21</v>
      </c>
      <c r="C23" s="141"/>
      <c r="D23" s="141"/>
      <c r="E23" s="141"/>
      <c r="F23" s="141"/>
      <c r="G23" s="141"/>
      <c r="H23" s="141"/>
    </row>
    <row r="24" spans="2:8" ht="155.25" customHeight="1">
      <c r="B24" s="24">
        <v>1</v>
      </c>
      <c r="C24" s="13" t="s">
        <v>22</v>
      </c>
      <c r="D24" s="15">
        <f aca="true" t="shared" si="1" ref="D24:D30">E24/12</f>
        <v>107166.66666666667</v>
      </c>
      <c r="E24" s="15">
        <v>1286000</v>
      </c>
      <c r="F24" s="15">
        <f>D24/G9</f>
        <v>6.0475755147493135</v>
      </c>
      <c r="G24" s="148"/>
      <c r="H24" s="149" t="s">
        <v>9</v>
      </c>
    </row>
    <row r="25" spans="2:8" ht="108.75">
      <c r="B25" s="24" t="s">
        <v>23</v>
      </c>
      <c r="C25" s="13" t="s">
        <v>24</v>
      </c>
      <c r="D25" s="15">
        <f t="shared" si="1"/>
        <v>90266.58357333334</v>
      </c>
      <c r="E25" s="15">
        <f>'Приложение 1'!D55</f>
        <v>1083199.00288</v>
      </c>
      <c r="F25" s="15">
        <f>D25/G9</f>
        <v>5.093878512766686</v>
      </c>
      <c r="G25" s="148"/>
      <c r="H25" s="149"/>
    </row>
    <row r="26" spans="2:8" ht="30.75">
      <c r="B26" s="24" t="s">
        <v>25</v>
      </c>
      <c r="C26" s="13" t="s">
        <v>26</v>
      </c>
      <c r="D26" s="15">
        <f t="shared" si="1"/>
        <v>52288.511999999995</v>
      </c>
      <c r="E26" s="15">
        <f>'Приложение 1'!D60</f>
        <v>627462.144</v>
      </c>
      <c r="F26" s="15">
        <f>D26/G9</f>
        <v>2.950719050145029</v>
      </c>
      <c r="G26" s="148"/>
      <c r="H26" s="149"/>
    </row>
    <row r="27" spans="2:8" ht="62.25">
      <c r="B27" s="24" t="s">
        <v>27</v>
      </c>
      <c r="C27" s="13" t="s">
        <v>28</v>
      </c>
      <c r="D27" s="15">
        <f t="shared" si="1"/>
        <v>69892</v>
      </c>
      <c r="E27" s="15">
        <f>'Приложение 1'!D66</f>
        <v>838704</v>
      </c>
      <c r="F27" s="15">
        <f>D27/G9</f>
        <v>3.944110244574112</v>
      </c>
      <c r="G27" s="148"/>
      <c r="H27" s="149"/>
    </row>
    <row r="28" spans="2:8" ht="15">
      <c r="B28" s="24" t="s">
        <v>29</v>
      </c>
      <c r="C28" s="13" t="s">
        <v>30</v>
      </c>
      <c r="D28" s="15">
        <f t="shared" si="1"/>
        <v>10416.666666666666</v>
      </c>
      <c r="E28" s="15">
        <f>'Приложение 1'!D70</f>
        <v>125000</v>
      </c>
      <c r="F28" s="15">
        <f>D28/G9</f>
        <v>0.5878281021334868</v>
      </c>
      <c r="G28" s="148"/>
      <c r="H28" s="149"/>
    </row>
    <row r="29" spans="2:8" ht="62.25">
      <c r="B29" s="24" t="s">
        <v>31</v>
      </c>
      <c r="C29" s="13" t="s">
        <v>32</v>
      </c>
      <c r="D29" s="15">
        <f t="shared" si="1"/>
        <v>5166.666666666667</v>
      </c>
      <c r="E29" s="15">
        <f>'Приложение 1'!D75</f>
        <v>62000</v>
      </c>
      <c r="F29" s="15">
        <f>D29/G9</f>
        <v>0.29156273865820953</v>
      </c>
      <c r="G29" s="148"/>
      <c r="H29" s="149"/>
    </row>
    <row r="30" spans="2:8" ht="30.75">
      <c r="B30" s="24" t="s">
        <v>33</v>
      </c>
      <c r="C30" s="13" t="s">
        <v>34</v>
      </c>
      <c r="D30" s="15">
        <f t="shared" si="1"/>
        <v>916.6666666666666</v>
      </c>
      <c r="E30" s="15">
        <f>'Приложение 1'!D79</f>
        <v>11000</v>
      </c>
      <c r="F30" s="15">
        <f>D30/G9</f>
        <v>0.051728872987746845</v>
      </c>
      <c r="G30" s="148"/>
      <c r="H30" s="149"/>
    </row>
    <row r="31" spans="2:8" ht="15" customHeight="1">
      <c r="B31" s="147" t="s">
        <v>35</v>
      </c>
      <c r="C31" s="147"/>
      <c r="D31" s="20">
        <f>SUM(D24:D30)</f>
        <v>336113.76224000007</v>
      </c>
      <c r="E31" s="20">
        <f>SUM(E24:E30)</f>
        <v>4033365.14688</v>
      </c>
      <c r="F31" s="21">
        <f>SUM(F24:F30)</f>
        <v>18.967403036014584</v>
      </c>
      <c r="G31" s="21"/>
      <c r="H31" s="22"/>
    </row>
    <row r="32" spans="2:8" ht="15" customHeight="1">
      <c r="B32" s="150" t="s">
        <v>36</v>
      </c>
      <c r="C32" s="150"/>
      <c r="D32" s="150"/>
      <c r="E32" s="150"/>
      <c r="F32" s="150"/>
      <c r="G32" s="150"/>
      <c r="H32" s="150"/>
    </row>
    <row r="33" spans="2:8" ht="31.5" customHeight="1">
      <c r="B33" s="24" t="s">
        <v>37</v>
      </c>
      <c r="C33" s="25" t="str">
        <f>'Приложение 1'!C83</f>
        <v>Сверхнормативные объемы эл.энергии</v>
      </c>
      <c r="D33" s="15">
        <f>E33/12</f>
        <v>833.3333333333334</v>
      </c>
      <c r="E33" s="15">
        <f>'Приложение 1'!D83</f>
        <v>10000</v>
      </c>
      <c r="F33" s="15">
        <f>D33/G9</f>
        <v>0.04702624817067895</v>
      </c>
      <c r="G33" s="152"/>
      <c r="H33" s="153" t="s">
        <v>9</v>
      </c>
    </row>
    <row r="34" spans="2:8" ht="15">
      <c r="B34" s="24" t="s">
        <v>23</v>
      </c>
      <c r="C34" s="25" t="str">
        <f>'Приложение 1'!C84</f>
        <v>Непредвиденные нужды</v>
      </c>
      <c r="D34" s="15">
        <f>E34/12</f>
        <v>25000</v>
      </c>
      <c r="E34" s="15">
        <f>'Приложение 1'!D84</f>
        <v>300000</v>
      </c>
      <c r="F34" s="15">
        <f>D34/G9</f>
        <v>1.4107874451203686</v>
      </c>
      <c r="G34" s="152"/>
      <c r="H34" s="153"/>
    </row>
    <row r="35" spans="2:8" ht="15" customHeight="1">
      <c r="B35" s="147" t="s">
        <v>38</v>
      </c>
      <c r="C35" s="147"/>
      <c r="D35" s="20">
        <f>SUM(D33:D34)</f>
        <v>25833.333333333332</v>
      </c>
      <c r="E35" s="20">
        <f>SUM(E33:E34)</f>
        <v>310000</v>
      </c>
      <c r="F35" s="26">
        <f>SUM(F33:F34)</f>
        <v>1.4578136932910475</v>
      </c>
      <c r="G35" s="26"/>
      <c r="H35" s="27"/>
    </row>
    <row r="36" spans="2:8" ht="31.5" customHeight="1">
      <c r="B36" s="154" t="s">
        <v>12</v>
      </c>
      <c r="C36" s="154"/>
      <c r="D36" s="28">
        <f>D35+D31+D21</f>
        <v>580329.17512</v>
      </c>
      <c r="E36" s="29">
        <f>E35+E31+E21</f>
        <v>6963950.101439999</v>
      </c>
      <c r="F36" s="28">
        <f>F35+F31+F21</f>
        <v>32.74884457185423</v>
      </c>
      <c r="G36" s="28"/>
      <c r="H36" s="30"/>
    </row>
    <row r="37" spans="2:8" ht="15">
      <c r="B37" s="6"/>
      <c r="C37" s="6"/>
      <c r="D37" s="6"/>
      <c r="E37" s="31"/>
      <c r="F37" s="6"/>
      <c r="G37" s="6"/>
      <c r="H37" s="6"/>
    </row>
    <row r="38" spans="2:8" ht="31.5" customHeight="1">
      <c r="B38" s="155" t="s">
        <v>39</v>
      </c>
      <c r="C38" s="155"/>
      <c r="D38" s="155"/>
      <c r="E38" s="32">
        <f>F9</f>
        <v>32.75</v>
      </c>
      <c r="F38" s="33"/>
      <c r="G38" s="33"/>
      <c r="H38" s="34"/>
    </row>
    <row r="39" spans="2:8" ht="18" customHeight="1">
      <c r="B39" s="156" t="s">
        <v>40</v>
      </c>
      <c r="C39" s="156"/>
      <c r="D39" s="156"/>
      <c r="E39" s="35"/>
      <c r="F39" s="36"/>
      <c r="G39" s="36"/>
      <c r="H39" s="36"/>
    </row>
    <row r="40" spans="2:9" ht="17.25" customHeight="1">
      <c r="B40"/>
      <c r="C40" s="37"/>
      <c r="D40" s="37"/>
      <c r="E40" s="38"/>
      <c r="F40" s="39"/>
      <c r="G40" s="39"/>
      <c r="H40" s="39"/>
      <c r="I40" s="40"/>
    </row>
    <row r="41" spans="1:9" ht="29.25" customHeight="1">
      <c r="A41" s="151" t="s">
        <v>41</v>
      </c>
      <c r="B41" s="151"/>
      <c r="C41" s="151"/>
      <c r="D41" s="151"/>
      <c r="E41" s="151"/>
      <c r="F41" s="151"/>
      <c r="G41" s="151"/>
      <c r="H41" s="151"/>
      <c r="I41" s="41"/>
    </row>
    <row r="42" ht="19.5" customHeight="1"/>
    <row r="43" ht="14.25">
      <c r="F43" s="2"/>
    </row>
  </sheetData>
  <sheetProtection selectLockedCells="1" selectUnlockedCells="1"/>
  <mergeCells count="28">
    <mergeCell ref="A41:H41"/>
    <mergeCell ref="G33:G34"/>
    <mergeCell ref="H33:H34"/>
    <mergeCell ref="B35:C35"/>
    <mergeCell ref="B36:C36"/>
    <mergeCell ref="B38:D38"/>
    <mergeCell ref="B39:D39"/>
    <mergeCell ref="B22:C22"/>
    <mergeCell ref="B23:H23"/>
    <mergeCell ref="G24:G30"/>
    <mergeCell ref="H24:H30"/>
    <mergeCell ref="B31:C31"/>
    <mergeCell ref="B32:H32"/>
    <mergeCell ref="B11:C11"/>
    <mergeCell ref="B12:H12"/>
    <mergeCell ref="B14:H14"/>
    <mergeCell ref="G15:G20"/>
    <mergeCell ref="H15:H20"/>
    <mergeCell ref="B21:C21"/>
    <mergeCell ref="G1:H1"/>
    <mergeCell ref="G2:H2"/>
    <mergeCell ref="B4:H4"/>
    <mergeCell ref="B6:H6"/>
    <mergeCell ref="B7:B8"/>
    <mergeCell ref="C7:C8"/>
    <mergeCell ref="D7:F7"/>
    <mergeCell ref="G7:G8"/>
    <mergeCell ref="H7:H8"/>
  </mergeCells>
  <printOptions/>
  <pageMargins left="0.7083333333333334" right="0.7083333333333334" top="0.7479166666666667" bottom="0.7479166666666667" header="0.5118055555555555" footer="0.5118055555555555"/>
  <pageSetup fitToHeight="5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V101"/>
  <sheetViews>
    <sheetView zoomScale="75" zoomScaleNormal="75" workbookViewId="0" topLeftCell="A10">
      <selection activeCell="E103" sqref="E103"/>
    </sheetView>
  </sheetViews>
  <sheetFormatPr defaultColWidth="8.7109375" defaultRowHeight="15"/>
  <cols>
    <col min="1" max="2" width="8.8515625" style="36" customWidth="1"/>
    <col min="3" max="3" width="46.00390625" style="42" customWidth="1"/>
    <col min="4" max="4" width="16.421875" style="36" customWidth="1"/>
    <col min="5" max="5" width="35.421875" style="36" customWidth="1"/>
    <col min="6" max="6" width="14.421875" style="1" customWidth="1"/>
    <col min="7" max="7" width="14.7109375" style="1" customWidth="1"/>
    <col min="8" max="8" width="13.421875" style="1" customWidth="1"/>
    <col min="9" max="61" width="8.8515625" style="1" customWidth="1"/>
    <col min="62" max="62" width="4.8515625" style="1" customWidth="1"/>
    <col min="63" max="87" width="8.8515625" style="1" hidden="1" customWidth="1"/>
    <col min="88" max="255" width="8.8515625" style="1" customWidth="1"/>
  </cols>
  <sheetData>
    <row r="2" ht="18">
      <c r="E2" s="39" t="s">
        <v>179</v>
      </c>
    </row>
    <row r="3" ht="18">
      <c r="E3" s="39" t="s">
        <v>199</v>
      </c>
    </row>
    <row r="5" spans="2:5" ht="17.25" customHeight="1">
      <c r="B5" s="157" t="s">
        <v>1</v>
      </c>
      <c r="C5" s="158" t="s">
        <v>42</v>
      </c>
      <c r="D5" s="43" t="s">
        <v>7</v>
      </c>
      <c r="E5" s="157" t="s">
        <v>43</v>
      </c>
    </row>
    <row r="6" spans="2:5" ht="18">
      <c r="B6" s="157"/>
      <c r="C6" s="158"/>
      <c r="D6" s="44" t="s">
        <v>3</v>
      </c>
      <c r="E6" s="157"/>
    </row>
    <row r="7" spans="2:5" ht="17.25" customHeight="1">
      <c r="B7" s="159" t="s">
        <v>16</v>
      </c>
      <c r="C7" s="159"/>
      <c r="D7" s="159"/>
      <c r="E7" s="159"/>
    </row>
    <row r="8" spans="2:5" ht="34.5" customHeight="1">
      <c r="B8" s="45">
        <v>1</v>
      </c>
      <c r="C8" s="46" t="s">
        <v>44</v>
      </c>
      <c r="D8" s="125">
        <v>201600</v>
      </c>
      <c r="E8" s="47"/>
    </row>
    <row r="9" spans="2:5" ht="39" customHeight="1">
      <c r="B9" s="14">
        <v>2</v>
      </c>
      <c r="C9" s="13" t="s">
        <v>45</v>
      </c>
      <c r="D9" s="126">
        <v>1224545.28</v>
      </c>
      <c r="E9" s="47"/>
    </row>
    <row r="10" spans="2:5" ht="18">
      <c r="B10" s="45">
        <v>3</v>
      </c>
      <c r="C10" s="13" t="s">
        <v>17</v>
      </c>
      <c r="D10" s="123">
        <f>D9*30.2%</f>
        <v>369812.67456</v>
      </c>
      <c r="E10" s="47"/>
    </row>
    <row r="11" spans="2:5" ht="47.25">
      <c r="B11" s="14">
        <v>4</v>
      </c>
      <c r="C11" s="13" t="s">
        <v>18</v>
      </c>
      <c r="D11" s="123">
        <f>SUM(D17:D31)</f>
        <v>516244</v>
      </c>
      <c r="E11" s="48" t="s">
        <v>46</v>
      </c>
    </row>
    <row r="12" spans="2:5" ht="33" customHeight="1">
      <c r="B12" s="45">
        <v>5</v>
      </c>
      <c r="C12" s="13" t="s">
        <v>47</v>
      </c>
      <c r="D12" s="123">
        <v>255583</v>
      </c>
      <c r="E12" s="47"/>
    </row>
    <row r="13" spans="2:5" ht="18">
      <c r="B13" s="14">
        <v>6</v>
      </c>
      <c r="C13" s="13" t="s">
        <v>19</v>
      </c>
      <c r="D13" s="123">
        <v>52800</v>
      </c>
      <c r="E13" s="47"/>
    </row>
    <row r="14" spans="2:6" ht="18">
      <c r="B14" s="49"/>
      <c r="C14" s="50" t="s">
        <v>48</v>
      </c>
      <c r="D14" s="51">
        <f>SUM(D8:D13)</f>
        <v>2620584.95456</v>
      </c>
      <c r="E14" s="52"/>
      <c r="F14" s="53"/>
    </row>
    <row r="15" spans="2:5" ht="9" customHeight="1">
      <c r="B15" s="160"/>
      <c r="C15" s="160"/>
      <c r="D15" s="160"/>
      <c r="E15" s="160"/>
    </row>
    <row r="16" spans="2:5" ht="17.25" customHeight="1">
      <c r="B16" s="161" t="s">
        <v>49</v>
      </c>
      <c r="C16" s="161"/>
      <c r="D16" s="161"/>
      <c r="E16" s="161"/>
    </row>
    <row r="17" spans="2:5" ht="18">
      <c r="B17" s="54" t="s">
        <v>50</v>
      </c>
      <c r="C17" s="13" t="s">
        <v>51</v>
      </c>
      <c r="D17" s="122">
        <v>180000</v>
      </c>
      <c r="E17" s="55" t="s">
        <v>52</v>
      </c>
    </row>
    <row r="18" spans="2:5" ht="25.5" customHeight="1">
      <c r="B18" s="56" t="s">
        <v>53</v>
      </c>
      <c r="C18" s="13" t="s">
        <v>54</v>
      </c>
      <c r="D18" s="122">
        <v>59000</v>
      </c>
      <c r="E18" s="55"/>
    </row>
    <row r="19" spans="2:5" ht="25.5" customHeight="1">
      <c r="B19" s="54" t="s">
        <v>55</v>
      </c>
      <c r="C19" s="13" t="s">
        <v>56</v>
      </c>
      <c r="D19" s="122">
        <v>30000</v>
      </c>
      <c r="E19" s="55"/>
    </row>
    <row r="20" spans="2:5" ht="30" customHeight="1">
      <c r="B20" s="54" t="s">
        <v>57</v>
      </c>
      <c r="C20" s="13" t="s">
        <v>58</v>
      </c>
      <c r="D20" s="122">
        <v>17244</v>
      </c>
      <c r="E20" s="55"/>
    </row>
    <row r="21" spans="2:5" ht="37.5" customHeight="1">
      <c r="B21" s="54" t="s">
        <v>59</v>
      </c>
      <c r="C21" s="13" t="s">
        <v>60</v>
      </c>
      <c r="D21" s="122">
        <v>32000</v>
      </c>
      <c r="E21" s="55"/>
    </row>
    <row r="22" spans="2:5" ht="30.75">
      <c r="B22" s="54" t="s">
        <v>61</v>
      </c>
      <c r="C22" s="13" t="s">
        <v>62</v>
      </c>
      <c r="D22" s="122">
        <v>8000</v>
      </c>
      <c r="E22" s="55"/>
    </row>
    <row r="23" spans="2:5" ht="18">
      <c r="B23" s="54" t="s">
        <v>63</v>
      </c>
      <c r="C23" s="13" t="s">
        <v>64</v>
      </c>
      <c r="D23" s="122">
        <v>15000</v>
      </c>
      <c r="E23" s="55"/>
    </row>
    <row r="24" spans="2:5" ht="18">
      <c r="B24" s="54" t="s">
        <v>65</v>
      </c>
      <c r="C24" s="57" t="s">
        <v>66</v>
      </c>
      <c r="D24" s="125">
        <v>25000</v>
      </c>
      <c r="E24" s="55"/>
    </row>
    <row r="25" spans="2:5" ht="18">
      <c r="B25" s="54" t="s">
        <v>67</v>
      </c>
      <c r="C25" s="55" t="s">
        <v>68</v>
      </c>
      <c r="D25" s="125">
        <v>30000</v>
      </c>
      <c r="E25" s="55"/>
    </row>
    <row r="26" spans="2:5" ht="18">
      <c r="B26" s="56" t="s">
        <v>69</v>
      </c>
      <c r="C26" s="55" t="s">
        <v>70</v>
      </c>
      <c r="D26" s="125">
        <v>20000</v>
      </c>
      <c r="E26" s="55"/>
    </row>
    <row r="27" spans="2:5" ht="18">
      <c r="B27" s="56" t="s">
        <v>71</v>
      </c>
      <c r="C27" s="55" t="s">
        <v>72</v>
      </c>
      <c r="D27" s="125">
        <v>10000</v>
      </c>
      <c r="E27" s="55"/>
    </row>
    <row r="28" spans="2:5" ht="18">
      <c r="B28" s="56">
        <v>4.12</v>
      </c>
      <c r="C28" s="55" t="s">
        <v>194</v>
      </c>
      <c r="D28" s="127">
        <v>70000</v>
      </c>
      <c r="E28" s="55"/>
    </row>
    <row r="29" spans="2:5" ht="18">
      <c r="B29" s="132">
        <v>4.13</v>
      </c>
      <c r="C29" s="58" t="s">
        <v>73</v>
      </c>
      <c r="D29" s="127">
        <v>5000</v>
      </c>
      <c r="E29" s="55"/>
    </row>
    <row r="30" spans="2:5" ht="18">
      <c r="B30" s="56">
        <v>4.14</v>
      </c>
      <c r="C30" s="55" t="s">
        <v>74</v>
      </c>
      <c r="D30" s="127">
        <v>10000</v>
      </c>
      <c r="E30" s="55"/>
    </row>
    <row r="31" spans="2:5" ht="31.5">
      <c r="B31" s="56">
        <v>4.15</v>
      </c>
      <c r="C31" s="58" t="s">
        <v>76</v>
      </c>
      <c r="D31" s="127">
        <v>5000</v>
      </c>
      <c r="E31" s="55"/>
    </row>
    <row r="32" spans="2:6" ht="16.5" customHeight="1">
      <c r="B32" s="59"/>
      <c r="C32" s="60" t="s">
        <v>48</v>
      </c>
      <c r="D32" s="61">
        <f>SUM(D17:D31)</f>
        <v>516244</v>
      </c>
      <c r="E32" s="62"/>
      <c r="F32" s="2"/>
    </row>
    <row r="33" spans="2:5" ht="13.5" customHeight="1">
      <c r="B33" s="163"/>
      <c r="C33" s="163"/>
      <c r="D33" s="163"/>
      <c r="E33" s="163"/>
    </row>
    <row r="34" spans="2:5" ht="17.25" customHeight="1">
      <c r="B34" s="159" t="s">
        <v>77</v>
      </c>
      <c r="C34" s="159"/>
      <c r="D34" s="159"/>
      <c r="E34" s="159"/>
    </row>
    <row r="35" spans="2:5" ht="34.5" customHeight="1">
      <c r="B35" s="164" t="s">
        <v>79</v>
      </c>
      <c r="C35" s="164"/>
      <c r="D35" s="164"/>
      <c r="E35" s="164"/>
    </row>
    <row r="36" spans="2:5" ht="33.75" customHeight="1">
      <c r="B36" s="63" t="s">
        <v>80</v>
      </c>
      <c r="C36" s="13" t="s">
        <v>81</v>
      </c>
      <c r="D36" s="128">
        <f>332112*12%+332112</f>
        <v>371965.44</v>
      </c>
      <c r="E36" s="55"/>
    </row>
    <row r="37" spans="2:5" ht="18">
      <c r="B37" s="63" t="s">
        <v>82</v>
      </c>
      <c r="C37" s="13" t="s">
        <v>78</v>
      </c>
      <c r="D37" s="128">
        <f>D36*30.2%</f>
        <v>112333.56288</v>
      </c>
      <c r="E37" s="55"/>
    </row>
    <row r="38" spans="2:5" ht="24.75" customHeight="1">
      <c r="B38" s="63" t="s">
        <v>83</v>
      </c>
      <c r="C38" s="13" t="s">
        <v>84</v>
      </c>
      <c r="D38" s="128">
        <v>11500</v>
      </c>
      <c r="E38" s="55"/>
    </row>
    <row r="39" spans="2:5" ht="30.75">
      <c r="B39" s="63" t="s">
        <v>85</v>
      </c>
      <c r="C39" s="13" t="s">
        <v>86</v>
      </c>
      <c r="D39" s="128">
        <v>140000</v>
      </c>
      <c r="E39" s="55"/>
    </row>
    <row r="40" spans="2:5" ht="23.25" customHeight="1">
      <c r="B40" s="63" t="s">
        <v>87</v>
      </c>
      <c r="C40" s="64" t="s">
        <v>88</v>
      </c>
      <c r="D40" s="122">
        <v>4500</v>
      </c>
      <c r="E40" s="55"/>
    </row>
    <row r="41" spans="2:5" ht="20.25" customHeight="1">
      <c r="B41" s="133" t="s">
        <v>89</v>
      </c>
      <c r="C41" s="131" t="s">
        <v>195</v>
      </c>
      <c r="D41" s="122">
        <f>SUM(D42:D47)</f>
        <v>246100</v>
      </c>
      <c r="E41" s="131"/>
    </row>
    <row r="42" spans="2:5" ht="40.5" customHeight="1">
      <c r="B42" s="63" t="s">
        <v>183</v>
      </c>
      <c r="C42" s="55" t="s">
        <v>182</v>
      </c>
      <c r="D42" s="122">
        <v>90000</v>
      </c>
      <c r="E42" s="55"/>
    </row>
    <row r="43" spans="2:5" ht="26.25" customHeight="1">
      <c r="B43" s="63" t="s">
        <v>184</v>
      </c>
      <c r="C43" s="55" t="s">
        <v>186</v>
      </c>
      <c r="D43" s="122">
        <v>12000</v>
      </c>
      <c r="E43" s="55"/>
    </row>
    <row r="44" spans="2:5" ht="26.25" customHeight="1">
      <c r="B44" s="63" t="s">
        <v>185</v>
      </c>
      <c r="C44" s="55" t="s">
        <v>187</v>
      </c>
      <c r="D44" s="122">
        <v>8100</v>
      </c>
      <c r="E44" s="55"/>
    </row>
    <row r="45" spans="2:5" ht="26.25" customHeight="1">
      <c r="B45" s="63" t="s">
        <v>188</v>
      </c>
      <c r="C45" s="55" t="s">
        <v>189</v>
      </c>
      <c r="D45" s="122">
        <v>50000</v>
      </c>
      <c r="E45" s="55"/>
    </row>
    <row r="46" spans="2:5" ht="40.5" customHeight="1">
      <c r="B46" s="63" t="s">
        <v>190</v>
      </c>
      <c r="C46" s="55" t="s">
        <v>191</v>
      </c>
      <c r="D46" s="122">
        <v>36000</v>
      </c>
      <c r="E46" s="55"/>
    </row>
    <row r="47" spans="2:6" ht="33.75" customHeight="1">
      <c r="B47" s="63" t="s">
        <v>192</v>
      </c>
      <c r="C47" s="55" t="s">
        <v>193</v>
      </c>
      <c r="D47" s="122">
        <v>50000</v>
      </c>
      <c r="E47" s="55"/>
      <c r="F47" s="2"/>
    </row>
    <row r="48" spans="2:6" ht="32.25" customHeight="1">
      <c r="B48" s="63" t="s">
        <v>90</v>
      </c>
      <c r="C48" s="55" t="s">
        <v>91</v>
      </c>
      <c r="D48" s="123">
        <v>29000</v>
      </c>
      <c r="E48" s="55"/>
      <c r="F48" s="130"/>
    </row>
    <row r="49" spans="2:5" ht="26.25" customHeight="1">
      <c r="B49" s="63" t="s">
        <v>93</v>
      </c>
      <c r="C49" s="55" t="s">
        <v>94</v>
      </c>
      <c r="D49" s="126">
        <v>30000</v>
      </c>
      <c r="E49" s="55"/>
    </row>
    <row r="50" spans="2:5" ht="24" customHeight="1">
      <c r="B50" s="63" t="s">
        <v>95</v>
      </c>
      <c r="C50" s="64" t="s">
        <v>96</v>
      </c>
      <c r="D50" s="122">
        <v>36000</v>
      </c>
      <c r="E50" s="55"/>
    </row>
    <row r="51" spans="2:5" ht="18">
      <c r="B51" s="63" t="s">
        <v>97</v>
      </c>
      <c r="C51" s="64" t="s">
        <v>98</v>
      </c>
      <c r="D51" s="122">
        <v>1500</v>
      </c>
      <c r="E51" s="55"/>
    </row>
    <row r="52" spans="2:5" ht="18">
      <c r="B52" s="63" t="s">
        <v>99</v>
      </c>
      <c r="C52" s="64" t="s">
        <v>100</v>
      </c>
      <c r="D52" s="122">
        <v>16000</v>
      </c>
      <c r="E52" s="55"/>
    </row>
    <row r="53" spans="2:5" ht="18">
      <c r="B53" s="63" t="s">
        <v>101</v>
      </c>
      <c r="C53" s="65" t="s">
        <v>102</v>
      </c>
      <c r="D53" s="122">
        <v>15000</v>
      </c>
      <c r="E53" s="58"/>
    </row>
    <row r="54" spans="2:5" ht="18">
      <c r="B54" s="63" t="s">
        <v>103</v>
      </c>
      <c r="C54" s="65" t="s">
        <v>104</v>
      </c>
      <c r="D54" s="122">
        <v>69300</v>
      </c>
      <c r="E54" s="58"/>
    </row>
    <row r="55" spans="2:5" ht="18">
      <c r="B55" s="59"/>
      <c r="C55" s="60" t="s">
        <v>48</v>
      </c>
      <c r="D55" s="61">
        <f>SUM(D36+D37+D38+D39+D40+D41+D48+D49+D50+D51+D52+D53+D54)</f>
        <v>1083199.00288</v>
      </c>
      <c r="E55" s="62"/>
    </row>
    <row r="56" spans="2:5" ht="17.25" customHeight="1">
      <c r="B56" s="164" t="s">
        <v>105</v>
      </c>
      <c r="C56" s="164"/>
      <c r="D56" s="164"/>
      <c r="E56" s="164"/>
    </row>
    <row r="57" spans="2:5" ht="18">
      <c r="B57" s="63" t="s">
        <v>106</v>
      </c>
      <c r="C57" s="64" t="s">
        <v>107</v>
      </c>
      <c r="D57" s="122">
        <f>405600*12%+405600</f>
        <v>454272</v>
      </c>
      <c r="E57" s="55"/>
    </row>
    <row r="58" spans="2:5" ht="24" customHeight="1">
      <c r="B58" s="63" t="s">
        <v>108</v>
      </c>
      <c r="C58" s="64" t="s">
        <v>78</v>
      </c>
      <c r="D58" s="122">
        <f>D57*0.302</f>
        <v>137190.144</v>
      </c>
      <c r="E58" s="55"/>
    </row>
    <row r="59" spans="2:5" ht="36" customHeight="1">
      <c r="B59" s="63" t="s">
        <v>109</v>
      </c>
      <c r="C59" s="65" t="s">
        <v>110</v>
      </c>
      <c r="D59" s="122">
        <v>36000</v>
      </c>
      <c r="E59" s="58"/>
    </row>
    <row r="60" spans="2:5" ht="18">
      <c r="B60" s="49"/>
      <c r="C60" s="50" t="s">
        <v>48</v>
      </c>
      <c r="D60" s="61">
        <f>SUM(D57:D59)</f>
        <v>627462.144</v>
      </c>
      <c r="E60" s="66"/>
    </row>
    <row r="61" spans="2:5" ht="57.75" customHeight="1">
      <c r="B61" s="165" t="s">
        <v>111</v>
      </c>
      <c r="C61" s="166"/>
      <c r="D61" s="166"/>
      <c r="E61" s="167"/>
    </row>
    <row r="62" spans="2:5" ht="31.5">
      <c r="B62" s="63" t="s">
        <v>50</v>
      </c>
      <c r="C62" s="64" t="s">
        <v>112</v>
      </c>
      <c r="D62" s="122">
        <v>100000</v>
      </c>
      <c r="E62" s="55"/>
    </row>
    <row r="63" spans="2:5" ht="31.5">
      <c r="B63" s="63" t="s">
        <v>53</v>
      </c>
      <c r="C63" s="64" t="s">
        <v>113</v>
      </c>
      <c r="D63" s="122">
        <v>20000</v>
      </c>
      <c r="E63" s="55"/>
    </row>
    <row r="64" spans="2:5" ht="36.75" customHeight="1">
      <c r="B64" s="63" t="s">
        <v>55</v>
      </c>
      <c r="C64" s="64" t="s">
        <v>196</v>
      </c>
      <c r="D64" s="122">
        <v>552000</v>
      </c>
      <c r="E64" s="55"/>
    </row>
    <row r="65" spans="2:5" ht="36.75" customHeight="1">
      <c r="B65" s="63">
        <v>4.4</v>
      </c>
      <c r="C65" s="64" t="s">
        <v>177</v>
      </c>
      <c r="D65" s="122">
        <f>D64*30.2%</f>
        <v>166704</v>
      </c>
      <c r="E65" s="55"/>
    </row>
    <row r="66" spans="2:6" ht="18">
      <c r="B66" s="49"/>
      <c r="C66" s="50" t="s">
        <v>48</v>
      </c>
      <c r="D66" s="61">
        <f>SUM(D62:D65)</f>
        <v>838704</v>
      </c>
      <c r="E66" s="66"/>
      <c r="F66" s="2"/>
    </row>
    <row r="67" spans="2:5" ht="18">
      <c r="B67" s="162" t="s">
        <v>114</v>
      </c>
      <c r="C67" s="162"/>
      <c r="D67" s="162"/>
      <c r="E67" s="162"/>
    </row>
    <row r="68" spans="2:5" ht="19.5" customHeight="1">
      <c r="B68" s="63" t="s">
        <v>115</v>
      </c>
      <c r="C68" s="64" t="s">
        <v>116</v>
      </c>
      <c r="D68" s="129">
        <v>25000</v>
      </c>
      <c r="E68" s="55"/>
    </row>
    <row r="69" spans="2:5" ht="21" customHeight="1">
      <c r="B69" s="63" t="s">
        <v>117</v>
      </c>
      <c r="C69" s="64" t="s">
        <v>118</v>
      </c>
      <c r="D69" s="122">
        <v>100000</v>
      </c>
      <c r="E69" s="55"/>
    </row>
    <row r="70" spans="2:5" ht="18">
      <c r="B70" s="49"/>
      <c r="C70" s="50" t="s">
        <v>48</v>
      </c>
      <c r="D70" s="67">
        <f>SUM(D68:D69)</f>
        <v>125000</v>
      </c>
      <c r="E70" s="66"/>
    </row>
    <row r="71" spans="2:5" ht="18">
      <c r="B71" s="162" t="s">
        <v>119</v>
      </c>
      <c r="C71" s="162"/>
      <c r="D71" s="162"/>
      <c r="E71" s="162"/>
    </row>
    <row r="72" spans="2:5" ht="18">
      <c r="B72" s="63" t="s">
        <v>120</v>
      </c>
      <c r="C72" s="55" t="s">
        <v>121</v>
      </c>
      <c r="D72" s="122">
        <v>50000</v>
      </c>
      <c r="E72" s="55"/>
    </row>
    <row r="73" spans="2:5" ht="18">
      <c r="B73" s="63" t="s">
        <v>122</v>
      </c>
      <c r="C73" s="55" t="s">
        <v>123</v>
      </c>
      <c r="D73" s="122">
        <v>8000</v>
      </c>
      <c r="E73" s="55"/>
    </row>
    <row r="74" spans="2:5" ht="19.5" customHeight="1">
      <c r="B74" s="63" t="s">
        <v>124</v>
      </c>
      <c r="C74" s="55" t="s">
        <v>125</v>
      </c>
      <c r="D74" s="122">
        <v>4000</v>
      </c>
      <c r="E74" s="55"/>
    </row>
    <row r="75" spans="2:5" ht="18">
      <c r="B75" s="59"/>
      <c r="C75" s="60" t="s">
        <v>48</v>
      </c>
      <c r="D75" s="61">
        <f>SUM(D72:D74)</f>
        <v>62000</v>
      </c>
      <c r="E75" s="62"/>
    </row>
    <row r="76" spans="2:5" ht="18">
      <c r="B76" s="162" t="s">
        <v>126</v>
      </c>
      <c r="C76" s="162"/>
      <c r="D76" s="162"/>
      <c r="E76" s="162"/>
    </row>
    <row r="77" spans="2:5" ht="18">
      <c r="B77" s="63" t="s">
        <v>127</v>
      </c>
      <c r="C77" s="64" t="s">
        <v>128</v>
      </c>
      <c r="D77" s="122">
        <v>5000</v>
      </c>
      <c r="E77" s="55"/>
    </row>
    <row r="78" spans="2:5" ht="18">
      <c r="B78" s="63" t="s">
        <v>129</v>
      </c>
      <c r="C78" s="64" t="s">
        <v>75</v>
      </c>
      <c r="D78" s="122">
        <v>6000</v>
      </c>
      <c r="E78" s="55"/>
    </row>
    <row r="79" spans="2:5" ht="18">
      <c r="B79" s="59"/>
      <c r="C79" s="60" t="s">
        <v>48</v>
      </c>
      <c r="D79" s="68">
        <f>SUM(D77:D78)</f>
        <v>11000</v>
      </c>
      <c r="E79" s="62"/>
    </row>
    <row r="80" spans="2:5" ht="18">
      <c r="B80" s="69"/>
      <c r="C80" s="70" t="s">
        <v>130</v>
      </c>
      <c r="D80" s="71">
        <f>SUM(D55+D60+D66+D70+D75+D79)</f>
        <v>2747365.14688</v>
      </c>
      <c r="E80" s="72"/>
    </row>
    <row r="81" spans="2:5" ht="11.25" customHeight="1">
      <c r="B81" s="73"/>
      <c r="C81" s="74"/>
      <c r="D81" s="75"/>
      <c r="E81" s="76"/>
    </row>
    <row r="82" spans="2:5" ht="18">
      <c r="B82" s="159" t="s">
        <v>131</v>
      </c>
      <c r="C82" s="159"/>
      <c r="D82" s="159"/>
      <c r="E82" s="159"/>
    </row>
    <row r="83" spans="2:5" ht="18">
      <c r="B83" s="63" t="s">
        <v>132</v>
      </c>
      <c r="C83" s="13" t="s">
        <v>133</v>
      </c>
      <c r="D83" s="123">
        <v>10000</v>
      </c>
      <c r="E83" s="55"/>
    </row>
    <row r="84" spans="2:5" ht="24.75" customHeight="1">
      <c r="B84" s="63" t="s">
        <v>134</v>
      </c>
      <c r="C84" s="13" t="s">
        <v>135</v>
      </c>
      <c r="D84" s="123">
        <v>300000</v>
      </c>
      <c r="E84" s="55"/>
    </row>
    <row r="85" spans="2:5" ht="1.5" customHeight="1" hidden="1">
      <c r="B85" s="63"/>
      <c r="C85" s="13"/>
      <c r="D85" s="123"/>
      <c r="E85" s="55"/>
    </row>
    <row r="86" spans="2:5" ht="33.75" customHeight="1">
      <c r="B86" s="63">
        <v>3</v>
      </c>
      <c r="C86" s="13" t="s">
        <v>204</v>
      </c>
      <c r="D86" s="123">
        <v>400000</v>
      </c>
      <c r="E86" s="55"/>
    </row>
    <row r="87" spans="2:5" ht="39.75" customHeight="1">
      <c r="B87" s="63">
        <v>4</v>
      </c>
      <c r="C87" s="13" t="s">
        <v>198</v>
      </c>
      <c r="D87" s="121">
        <f>SUM(D88:D90)</f>
        <v>418000</v>
      </c>
      <c r="E87" s="55" t="s">
        <v>176</v>
      </c>
    </row>
    <row r="88" spans="2:5" ht="33.75" customHeight="1">
      <c r="B88" s="63">
        <v>5</v>
      </c>
      <c r="C88" s="13" t="s">
        <v>208</v>
      </c>
      <c r="D88" s="121">
        <v>160000</v>
      </c>
      <c r="E88" s="55"/>
    </row>
    <row r="89" spans="2:5" ht="63" customHeight="1">
      <c r="B89" s="63">
        <v>6</v>
      </c>
      <c r="C89" s="13" t="s">
        <v>180</v>
      </c>
      <c r="D89" s="121">
        <v>160000</v>
      </c>
      <c r="E89" s="55"/>
    </row>
    <row r="90" spans="2:6" ht="56.25" customHeight="1">
      <c r="B90" s="63">
        <v>7</v>
      </c>
      <c r="C90" s="13" t="s">
        <v>181</v>
      </c>
      <c r="D90" s="121">
        <v>98000</v>
      </c>
      <c r="E90" s="55"/>
      <c r="F90" s="2"/>
    </row>
    <row r="91" spans="2:5" ht="33.75" customHeight="1">
      <c r="B91" s="63">
        <v>8</v>
      </c>
      <c r="C91" s="13" t="s">
        <v>197</v>
      </c>
      <c r="D91" s="121">
        <v>50000</v>
      </c>
      <c r="E91" s="55"/>
    </row>
    <row r="92" spans="2:256" ht="18">
      <c r="B92" s="69"/>
      <c r="C92" s="70" t="s">
        <v>48</v>
      </c>
      <c r="D92" s="134">
        <f>SUM(D83:D91)</f>
        <v>1596000</v>
      </c>
      <c r="E92" s="72"/>
      <c r="F92" s="2"/>
      <c r="IV92">
        <f>SUM(A92:IU92)</f>
        <v>1596000</v>
      </c>
    </row>
    <row r="93" spans="2:5" ht="18">
      <c r="B93" s="77"/>
      <c r="C93" s="78"/>
      <c r="D93" s="77"/>
      <c r="E93" s="77"/>
    </row>
    <row r="94" spans="2:5" ht="18">
      <c r="B94" s="79"/>
      <c r="C94" s="80" t="s">
        <v>137</v>
      </c>
      <c r="D94" s="81">
        <f>SUM(D14+D80+D92)</f>
        <v>6963950.101439999</v>
      </c>
      <c r="E94" s="79"/>
    </row>
    <row r="96" ht="18">
      <c r="C96" s="42" t="s">
        <v>209</v>
      </c>
    </row>
    <row r="97" spans="3:7" ht="77.25" customHeight="1">
      <c r="C97" s="124" t="s">
        <v>200</v>
      </c>
      <c r="E97" s="1" t="s">
        <v>201</v>
      </c>
      <c r="F97" s="137" t="s">
        <v>202</v>
      </c>
      <c r="G97" s="137" t="s">
        <v>203</v>
      </c>
    </row>
    <row r="98" spans="2:7" ht="18">
      <c r="B98" s="63" t="s">
        <v>92</v>
      </c>
      <c r="C98" s="55" t="s">
        <v>178</v>
      </c>
      <c r="D98" s="135">
        <v>133590</v>
      </c>
      <c r="E98" s="1">
        <f>D98/17720.6</f>
        <v>7.538683791745201</v>
      </c>
      <c r="F98" s="1">
        <f>E98/3</f>
        <v>2.5128945972484003</v>
      </c>
      <c r="G98" s="1">
        <f>E98/6</f>
        <v>1.2564472986242001</v>
      </c>
    </row>
    <row r="99" spans="2:7" ht="18">
      <c r="B99" s="63">
        <v>5</v>
      </c>
      <c r="C99" s="13" t="s">
        <v>175</v>
      </c>
      <c r="D99" s="135">
        <v>86150</v>
      </c>
      <c r="E99" s="1">
        <f>D99/17720.6</f>
        <v>4.86157353588479</v>
      </c>
      <c r="F99" s="1">
        <f>E99/3</f>
        <v>1.6205245119615965</v>
      </c>
      <c r="G99" s="1">
        <f>E99/6</f>
        <v>0.8102622559807983</v>
      </c>
    </row>
    <row r="100" spans="2:7" ht="18">
      <c r="B100" s="63">
        <v>9</v>
      </c>
      <c r="C100" s="13" t="s">
        <v>136</v>
      </c>
      <c r="D100" s="135">
        <v>180000</v>
      </c>
      <c r="E100" s="1">
        <f>D100/17720.6</f>
        <v>10.157669604866653</v>
      </c>
      <c r="F100" s="1">
        <f>E100/3</f>
        <v>3.3858898682888845</v>
      </c>
      <c r="G100" s="1">
        <f>E100/6</f>
        <v>1.6929449341444422</v>
      </c>
    </row>
    <row r="101" spans="2:7" ht="18">
      <c r="B101" s="63">
        <v>7</v>
      </c>
      <c r="C101" s="13" t="s">
        <v>205</v>
      </c>
      <c r="D101" s="136">
        <v>500000</v>
      </c>
      <c r="E101" s="1">
        <f>D101/17720.6</f>
        <v>28.21574890240737</v>
      </c>
      <c r="F101" s="1">
        <f>E101/3</f>
        <v>9.40524963413579</v>
      </c>
      <c r="G101" s="1">
        <f>E101/6</f>
        <v>4.702624817067895</v>
      </c>
    </row>
  </sheetData>
  <sheetProtection selectLockedCells="1" selectUnlockedCells="1"/>
  <mergeCells count="15">
    <mergeCell ref="B67:E67"/>
    <mergeCell ref="B71:E71"/>
    <mergeCell ref="B76:E76"/>
    <mergeCell ref="B82:E82"/>
    <mergeCell ref="B33:E33"/>
    <mergeCell ref="B34:E34"/>
    <mergeCell ref="B35:E35"/>
    <mergeCell ref="B56:E56"/>
    <mergeCell ref="B61:E61"/>
    <mergeCell ref="B5:B6"/>
    <mergeCell ref="C5:C6"/>
    <mergeCell ref="E5:E6"/>
    <mergeCell ref="B7:E7"/>
    <mergeCell ref="B15:E15"/>
    <mergeCell ref="B16:E16"/>
  </mergeCells>
  <printOptions/>
  <pageMargins left="0.25" right="0.25" top="0.75" bottom="0.75" header="0.3" footer="0.3"/>
  <pageSetup fitToHeight="5" horizontalDpi="300" verticalDpi="300" orientation="portrait" paperSize="9" scale="1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75" zoomScaleNormal="75" zoomScalePageLayoutView="0" workbookViewId="0" topLeftCell="A4">
      <selection activeCell="Z11" sqref="Z11"/>
    </sheetView>
  </sheetViews>
  <sheetFormatPr defaultColWidth="8.140625" defaultRowHeight="15"/>
  <cols>
    <col min="1" max="10" width="8.140625" style="0" customWidth="1"/>
    <col min="11" max="11" width="10.00390625" style="0" customWidth="1"/>
  </cols>
  <sheetData>
    <row r="1" spans="1:21" ht="15.75" customHeight="1">
      <c r="A1" s="168" t="s">
        <v>138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ht="15.75" customHeight="1">
      <c r="A2" s="168" t="s">
        <v>139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ht="15.75" customHeight="1">
      <c r="A3" s="168" t="s">
        <v>140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1" ht="15">
      <c r="A4" s="200" t="s">
        <v>212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21" ht="14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83"/>
      <c r="T5" s="83"/>
      <c r="U5" s="84"/>
    </row>
    <row r="6" spans="1:21" ht="14.2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83"/>
      <c r="S6" s="83"/>
      <c r="T6" s="83"/>
      <c r="U6" s="84"/>
    </row>
    <row r="7" spans="1:21" ht="16.5" customHeight="1">
      <c r="A7" s="170" t="s">
        <v>141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85"/>
      <c r="S7" s="85"/>
      <c r="T7" s="85"/>
      <c r="U7" s="86"/>
    </row>
    <row r="8" spans="1:21" ht="15.75" customHeight="1">
      <c r="A8" s="171" t="s">
        <v>142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87"/>
      <c r="S8" s="87"/>
      <c r="T8" s="87"/>
      <c r="U8" s="87"/>
    </row>
    <row r="9" spans="1:21" ht="14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</row>
    <row r="10" spans="1:21" ht="42" customHeight="1">
      <c r="A10" s="173"/>
      <c r="B10" s="173"/>
      <c r="C10" s="173"/>
      <c r="D10" s="89"/>
      <c r="E10" s="89"/>
      <c r="F10" s="90"/>
      <c r="G10" s="91"/>
      <c r="H10" s="174" t="s">
        <v>143</v>
      </c>
      <c r="I10" s="174"/>
      <c r="J10" s="174"/>
      <c r="K10" s="85" t="s">
        <v>144</v>
      </c>
      <c r="L10" s="175"/>
      <c r="M10" s="175"/>
      <c r="N10" s="175"/>
      <c r="O10" s="175"/>
      <c r="P10" s="175"/>
      <c r="Q10" s="175"/>
      <c r="R10" s="175"/>
      <c r="S10" s="175"/>
      <c r="T10" s="175"/>
      <c r="U10" s="175"/>
    </row>
    <row r="11" spans="1:21" ht="22.5" customHeight="1">
      <c r="A11" s="176"/>
      <c r="B11" s="176"/>
      <c r="C11" s="176"/>
      <c r="D11" s="177" t="s">
        <v>145</v>
      </c>
      <c r="E11" s="177"/>
      <c r="F11" s="177"/>
      <c r="G11" s="92"/>
      <c r="H11" s="174">
        <v>1</v>
      </c>
      <c r="I11" s="174"/>
      <c r="J11" s="174"/>
      <c r="K11" s="93">
        <v>45017</v>
      </c>
      <c r="L11" s="178"/>
      <c r="M11" s="178"/>
      <c r="N11" s="172" t="s">
        <v>146</v>
      </c>
      <c r="O11" s="172"/>
      <c r="P11" s="172"/>
      <c r="Q11" s="172"/>
      <c r="R11" s="172"/>
      <c r="S11" s="172"/>
      <c r="T11" s="172"/>
      <c r="U11" s="172"/>
    </row>
    <row r="12" spans="1:21" ht="14.2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</row>
    <row r="13" spans="1:21" ht="24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9" t="s">
        <v>207</v>
      </c>
      <c r="O13" s="179"/>
      <c r="P13" s="179"/>
      <c r="Q13" s="179"/>
      <c r="R13" s="179"/>
      <c r="S13" s="88"/>
      <c r="T13" s="94" t="s">
        <v>147</v>
      </c>
      <c r="U13" s="87"/>
    </row>
    <row r="14" spans="1:21" ht="14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</row>
    <row r="15" spans="1:21" ht="15.75" customHeight="1">
      <c r="A15" s="180" t="s">
        <v>148</v>
      </c>
      <c r="B15" s="180"/>
      <c r="C15" s="181">
        <v>2023</v>
      </c>
      <c r="D15" s="181"/>
      <c r="E15" s="96" t="s">
        <v>149</v>
      </c>
      <c r="F15" s="94"/>
      <c r="G15" s="97"/>
      <c r="H15" s="182"/>
      <c r="I15" s="182"/>
      <c r="J15" s="98"/>
      <c r="K15" s="98"/>
      <c r="L15" s="176"/>
      <c r="M15" s="176"/>
      <c r="N15" s="172" t="s">
        <v>150</v>
      </c>
      <c r="O15" s="172"/>
      <c r="P15" s="172"/>
      <c r="Q15" s="95">
        <f>J30</f>
        <v>7</v>
      </c>
      <c r="R15" s="95"/>
      <c r="S15" s="95"/>
      <c r="T15" s="172"/>
      <c r="U15" s="172"/>
    </row>
    <row r="16" spans="1:21" ht="14.2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21" customHeight="1">
      <c r="A17" s="184" t="s">
        <v>151</v>
      </c>
      <c r="B17" s="184"/>
      <c r="C17" s="184" t="s">
        <v>152</v>
      </c>
      <c r="D17" s="184"/>
      <c r="E17" s="184"/>
      <c r="F17" s="184"/>
      <c r="G17" s="184"/>
      <c r="H17" s="184"/>
      <c r="I17" s="184"/>
      <c r="J17" s="184" t="s">
        <v>153</v>
      </c>
      <c r="K17" s="184" t="s">
        <v>154</v>
      </c>
      <c r="L17" s="184"/>
      <c r="M17" s="185" t="s">
        <v>155</v>
      </c>
      <c r="N17" s="185"/>
      <c r="O17" s="185"/>
      <c r="P17" s="185"/>
      <c r="Q17" s="99" t="s">
        <v>156</v>
      </c>
      <c r="R17" s="184" t="s">
        <v>43</v>
      </c>
      <c r="S17" s="184"/>
      <c r="T17" s="184"/>
      <c r="U17" s="184"/>
    </row>
    <row r="18" spans="1:21" ht="40.5">
      <c r="A18" s="100" t="s">
        <v>157</v>
      </c>
      <c r="B18" s="101" t="s">
        <v>158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6"/>
      <c r="N18" s="186"/>
      <c r="O18" s="102"/>
      <c r="P18" s="102"/>
      <c r="Q18" s="103" t="s">
        <v>159</v>
      </c>
      <c r="R18" s="184"/>
      <c r="S18" s="184"/>
      <c r="T18" s="184"/>
      <c r="U18" s="184"/>
    </row>
    <row r="19" spans="1:21" ht="15.75" customHeight="1">
      <c r="A19" s="102">
        <v>1</v>
      </c>
      <c r="B19" s="104">
        <v>2</v>
      </c>
      <c r="C19" s="187">
        <v>3</v>
      </c>
      <c r="D19" s="187"/>
      <c r="E19" s="187"/>
      <c r="F19" s="187"/>
      <c r="G19" s="187"/>
      <c r="H19" s="187"/>
      <c r="I19" s="187"/>
      <c r="J19" s="102">
        <v>4</v>
      </c>
      <c r="K19" s="187">
        <v>5</v>
      </c>
      <c r="L19" s="187"/>
      <c r="M19" s="186">
        <v>6</v>
      </c>
      <c r="N19" s="186"/>
      <c r="O19" s="102">
        <v>7</v>
      </c>
      <c r="P19" s="102">
        <v>8</v>
      </c>
      <c r="Q19" s="102">
        <v>9</v>
      </c>
      <c r="R19" s="187">
        <v>10</v>
      </c>
      <c r="S19" s="187"/>
      <c r="T19" s="187"/>
      <c r="U19" s="187"/>
    </row>
    <row r="20" spans="1:21" ht="15.75" customHeight="1">
      <c r="A20" s="188" t="s">
        <v>160</v>
      </c>
      <c r="B20" s="105"/>
      <c r="C20" s="189" t="s">
        <v>161</v>
      </c>
      <c r="D20" s="189"/>
      <c r="E20" s="189"/>
      <c r="F20" s="189"/>
      <c r="G20" s="189"/>
      <c r="H20" s="189"/>
      <c r="I20" s="189"/>
      <c r="J20" s="102">
        <v>1</v>
      </c>
      <c r="K20" s="190">
        <f>28600*12%+28600</f>
        <v>32032</v>
      </c>
      <c r="L20" s="190"/>
      <c r="M20" s="187"/>
      <c r="N20" s="187"/>
      <c r="O20" s="102"/>
      <c r="P20" s="102"/>
      <c r="Q20" s="102">
        <f>K20</f>
        <v>32032</v>
      </c>
      <c r="R20" s="187"/>
      <c r="S20" s="187"/>
      <c r="T20" s="187"/>
      <c r="U20" s="187"/>
    </row>
    <row r="21" spans="1:21" ht="15.75" customHeight="1">
      <c r="A21" s="188"/>
      <c r="B21" s="105"/>
      <c r="C21" s="189" t="s">
        <v>162</v>
      </c>
      <c r="D21" s="189"/>
      <c r="E21" s="189"/>
      <c r="F21" s="189"/>
      <c r="G21" s="189"/>
      <c r="H21" s="189"/>
      <c r="I21" s="189"/>
      <c r="J21" s="102">
        <v>1</v>
      </c>
      <c r="K21" s="190">
        <f>27000*12%+27000</f>
        <v>30240</v>
      </c>
      <c r="L21" s="190"/>
      <c r="M21" s="102"/>
      <c r="N21" s="102"/>
      <c r="O21" s="102"/>
      <c r="P21" s="102"/>
      <c r="Q21" s="102">
        <f>K21</f>
        <v>30240</v>
      </c>
      <c r="R21" s="187"/>
      <c r="S21" s="187"/>
      <c r="T21" s="187"/>
      <c r="U21" s="187"/>
    </row>
    <row r="22" spans="1:21" ht="15.75" customHeight="1">
      <c r="A22" s="188"/>
      <c r="B22" s="105"/>
      <c r="C22" s="189" t="s">
        <v>163</v>
      </c>
      <c r="D22" s="189"/>
      <c r="E22" s="189"/>
      <c r="F22" s="189"/>
      <c r="G22" s="189"/>
      <c r="H22" s="189"/>
      <c r="I22" s="189"/>
      <c r="J22" s="102">
        <v>0.5</v>
      </c>
      <c r="K22" s="186">
        <f>21024*12%+21024</f>
        <v>23546.88</v>
      </c>
      <c r="L22" s="186"/>
      <c r="M22" s="187"/>
      <c r="N22" s="187"/>
      <c r="O22" s="102"/>
      <c r="P22" s="102"/>
      <c r="Q22" s="102">
        <f>(K22+M22+O22+P22)*J22</f>
        <v>11773.44</v>
      </c>
      <c r="R22" s="187"/>
      <c r="S22" s="187"/>
      <c r="T22" s="187"/>
      <c r="U22" s="187"/>
    </row>
    <row r="23" spans="1:21" ht="15.75" customHeight="1">
      <c r="A23" s="188"/>
      <c r="B23" s="105"/>
      <c r="C23" s="189" t="s">
        <v>164</v>
      </c>
      <c r="D23" s="189"/>
      <c r="E23" s="189"/>
      <c r="F23" s="189"/>
      <c r="G23" s="189"/>
      <c r="H23" s="189"/>
      <c r="I23" s="189"/>
      <c r="J23" s="102">
        <v>1</v>
      </c>
      <c r="K23" s="186">
        <f>25000*12%+25000</f>
        <v>28000</v>
      </c>
      <c r="L23" s="186"/>
      <c r="M23" s="187"/>
      <c r="N23" s="187"/>
      <c r="O23" s="102"/>
      <c r="P23" s="102"/>
      <c r="Q23" s="102">
        <f>K23</f>
        <v>28000</v>
      </c>
      <c r="R23" s="187"/>
      <c r="S23" s="187"/>
      <c r="T23" s="187"/>
      <c r="U23" s="187"/>
    </row>
    <row r="24" spans="1:21" ht="15.75" customHeight="1">
      <c r="A24" s="188"/>
      <c r="B24" s="106"/>
      <c r="C24" s="191" t="s">
        <v>165</v>
      </c>
      <c r="D24" s="191"/>
      <c r="E24" s="191"/>
      <c r="F24" s="191"/>
      <c r="G24" s="191"/>
      <c r="H24" s="191"/>
      <c r="I24" s="191"/>
      <c r="J24" s="107">
        <f>SUM(J20:J23)</f>
        <v>3.5</v>
      </c>
      <c r="K24" s="192">
        <f>SUM(K20:K23)</f>
        <v>113818.88</v>
      </c>
      <c r="L24" s="192">
        <f>SUM(L20:L23)</f>
        <v>0</v>
      </c>
      <c r="M24" s="107"/>
      <c r="N24" s="108"/>
      <c r="O24" s="107"/>
      <c r="P24" s="107"/>
      <c r="Q24" s="107">
        <f>SUM(Q20:Q23)</f>
        <v>102045.44</v>
      </c>
      <c r="R24" s="187"/>
      <c r="S24" s="187"/>
      <c r="T24" s="187"/>
      <c r="U24" s="187"/>
    </row>
    <row r="25" spans="1:21" ht="15.75" customHeight="1">
      <c r="A25" s="199" t="s">
        <v>166</v>
      </c>
      <c r="B25" s="105"/>
      <c r="C25" s="189" t="s">
        <v>167</v>
      </c>
      <c r="D25" s="189"/>
      <c r="E25" s="189"/>
      <c r="F25" s="189"/>
      <c r="G25" s="189"/>
      <c r="H25" s="189"/>
      <c r="I25" s="189"/>
      <c r="J25" s="102">
        <v>1</v>
      </c>
      <c r="K25" s="186">
        <f>19500*12%+19500</f>
        <v>21840</v>
      </c>
      <c r="L25" s="186"/>
      <c r="M25" s="187"/>
      <c r="N25" s="187"/>
      <c r="O25" s="102"/>
      <c r="P25" s="102"/>
      <c r="Q25" s="102">
        <f>K25</f>
        <v>21840</v>
      </c>
      <c r="R25" s="187"/>
      <c r="S25" s="187"/>
      <c r="T25" s="187"/>
      <c r="U25" s="187"/>
    </row>
    <row r="26" spans="1:21" ht="15.75" customHeight="1">
      <c r="A26" s="199"/>
      <c r="B26" s="105"/>
      <c r="C26" s="189" t="s">
        <v>168</v>
      </c>
      <c r="D26" s="189"/>
      <c r="E26" s="189"/>
      <c r="F26" s="189"/>
      <c r="G26" s="189"/>
      <c r="H26" s="189"/>
      <c r="I26" s="189"/>
      <c r="J26" s="102">
        <v>0.5</v>
      </c>
      <c r="K26" s="187">
        <f>16352*12%+16352</f>
        <v>18314.24</v>
      </c>
      <c r="L26" s="187"/>
      <c r="M26" s="187"/>
      <c r="N26" s="187"/>
      <c r="O26" s="102"/>
      <c r="P26" s="102"/>
      <c r="Q26" s="102">
        <f>(K26+M26+O26+P26)*J26</f>
        <v>9157.12</v>
      </c>
      <c r="R26" s="187"/>
      <c r="S26" s="187"/>
      <c r="T26" s="187"/>
      <c r="U26" s="187"/>
    </row>
    <row r="27" spans="1:21" ht="15.75" customHeight="1">
      <c r="A27" s="199"/>
      <c r="B27" s="105"/>
      <c r="C27" s="189"/>
      <c r="D27" s="189"/>
      <c r="E27" s="189"/>
      <c r="F27" s="189"/>
      <c r="G27" s="189"/>
      <c r="H27" s="189"/>
      <c r="I27" s="189"/>
      <c r="J27" s="102"/>
      <c r="K27" s="186"/>
      <c r="L27" s="186"/>
      <c r="M27" s="187"/>
      <c r="N27" s="187"/>
      <c r="O27" s="109"/>
      <c r="P27" s="102"/>
      <c r="Q27" s="102"/>
      <c r="R27" s="187"/>
      <c r="S27" s="187"/>
      <c r="T27" s="187"/>
      <c r="U27" s="187"/>
    </row>
    <row r="28" spans="1:21" ht="15.75" customHeight="1">
      <c r="A28" s="199"/>
      <c r="B28" s="105"/>
      <c r="C28" s="189" t="s">
        <v>169</v>
      </c>
      <c r="D28" s="189"/>
      <c r="E28" s="189"/>
      <c r="F28" s="189"/>
      <c r="G28" s="189"/>
      <c r="H28" s="189"/>
      <c r="I28" s="189"/>
      <c r="J28" s="102">
        <v>2</v>
      </c>
      <c r="K28" s="186">
        <f>16900*12%+16900</f>
        <v>18928</v>
      </c>
      <c r="L28" s="186"/>
      <c r="M28" s="193"/>
      <c r="N28" s="193"/>
      <c r="O28" s="102"/>
      <c r="P28" s="102"/>
      <c r="Q28" s="102">
        <f>K28</f>
        <v>18928</v>
      </c>
      <c r="R28" s="187"/>
      <c r="S28" s="187"/>
      <c r="T28" s="187"/>
      <c r="U28" s="187"/>
    </row>
    <row r="29" spans="1:21" ht="15.75" customHeight="1">
      <c r="A29" s="199"/>
      <c r="B29" s="105"/>
      <c r="C29" s="191" t="s">
        <v>170</v>
      </c>
      <c r="D29" s="191"/>
      <c r="E29" s="191"/>
      <c r="F29" s="191"/>
      <c r="G29" s="191"/>
      <c r="H29" s="191"/>
      <c r="I29" s="191"/>
      <c r="J29" s="110">
        <f>SUM(J25:J28)</f>
        <v>3.5</v>
      </c>
      <c r="K29" s="195">
        <f>SUM(K25:K28)</f>
        <v>59082.240000000005</v>
      </c>
      <c r="L29" s="195"/>
      <c r="M29" s="107"/>
      <c r="N29" s="107"/>
      <c r="O29" s="111"/>
      <c r="P29" s="110"/>
      <c r="Q29" s="110">
        <f>SUM(Q25:Q28)</f>
        <v>49925.12</v>
      </c>
      <c r="R29" s="184"/>
      <c r="S29" s="184"/>
      <c r="T29" s="184"/>
      <c r="U29" s="184"/>
    </row>
    <row r="30" spans="1:21" ht="15.75" customHeight="1">
      <c r="A30" s="196" t="s">
        <v>171</v>
      </c>
      <c r="B30" s="196"/>
      <c r="C30" s="196"/>
      <c r="D30" s="196"/>
      <c r="E30" s="196"/>
      <c r="F30" s="196"/>
      <c r="G30" s="196"/>
      <c r="H30" s="196"/>
      <c r="I30" s="196"/>
      <c r="J30" s="112">
        <f>SUM(J24,J29)</f>
        <v>7</v>
      </c>
      <c r="K30" s="197">
        <f>SUM(K24,K29)</f>
        <v>172901.12</v>
      </c>
      <c r="L30" s="197"/>
      <c r="M30" s="198"/>
      <c r="N30" s="198"/>
      <c r="O30" s="112"/>
      <c r="P30" s="112"/>
      <c r="Q30" s="112">
        <f>SUM(Q24,Q29)</f>
        <v>151970.56</v>
      </c>
      <c r="R30" s="184"/>
      <c r="S30" s="184"/>
      <c r="T30" s="184"/>
      <c r="U30" s="184"/>
    </row>
    <row r="31" spans="1:21" ht="14.25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  <c r="M31" s="115"/>
      <c r="N31" s="115"/>
      <c r="O31" s="115"/>
      <c r="P31" s="115"/>
      <c r="Q31" s="115"/>
      <c r="R31" s="116"/>
      <c r="S31" s="114"/>
      <c r="T31" s="114"/>
      <c r="U31" s="114"/>
    </row>
    <row r="32" spans="1:21" ht="14.25">
      <c r="A32" s="114"/>
      <c r="L32" s="117"/>
      <c r="M32" s="117"/>
      <c r="N32" s="117"/>
      <c r="O32" s="117"/>
      <c r="P32" s="117"/>
      <c r="Q32" s="117"/>
      <c r="R32" s="118"/>
      <c r="S32" s="118"/>
      <c r="T32" s="118"/>
      <c r="U32" s="118"/>
    </row>
    <row r="33" spans="1:17" ht="14.25">
      <c r="A33" s="119" t="s">
        <v>172</v>
      </c>
      <c r="B33" s="120"/>
      <c r="C33" s="120"/>
      <c r="D33" s="120"/>
      <c r="E33" s="120"/>
      <c r="F33" s="120"/>
      <c r="G33" s="120"/>
      <c r="H33" s="120"/>
      <c r="I33" s="120" t="s">
        <v>206</v>
      </c>
      <c r="J33" s="120"/>
      <c r="K33" s="120"/>
      <c r="L33" s="117"/>
      <c r="M33" s="117"/>
      <c r="N33" s="117"/>
      <c r="O33" s="117"/>
      <c r="P33" s="117"/>
      <c r="Q33" s="117"/>
    </row>
    <row r="34" spans="1:17" ht="15.75" customHeight="1">
      <c r="A34" s="119" t="s">
        <v>173</v>
      </c>
      <c r="F34" s="194" t="s">
        <v>174</v>
      </c>
      <c r="G34" s="194"/>
      <c r="H34" s="194"/>
      <c r="L34" s="117"/>
      <c r="M34" s="117"/>
      <c r="N34" s="117"/>
      <c r="O34" s="117"/>
      <c r="P34" s="117"/>
      <c r="Q34" s="117"/>
    </row>
  </sheetData>
  <sheetProtection selectLockedCells="1" selectUnlockedCells="1"/>
  <mergeCells count="83">
    <mergeCell ref="F34:H34"/>
    <mergeCell ref="C29:I29"/>
    <mergeCell ref="K29:L29"/>
    <mergeCell ref="R29:U29"/>
    <mergeCell ref="A30:I30"/>
    <mergeCell ref="K30:L30"/>
    <mergeCell ref="M30:N30"/>
    <mergeCell ref="R30:U30"/>
    <mergeCell ref="A25:A29"/>
    <mergeCell ref="C25:I25"/>
    <mergeCell ref="K27:L27"/>
    <mergeCell ref="M27:N27"/>
    <mergeCell ref="R27:U27"/>
    <mergeCell ref="C28:I28"/>
    <mergeCell ref="K28:L28"/>
    <mergeCell ref="M28:N28"/>
    <mergeCell ref="R28:U28"/>
    <mergeCell ref="C27:I27"/>
    <mergeCell ref="K25:L25"/>
    <mergeCell ref="M25:N25"/>
    <mergeCell ref="R25:U25"/>
    <mergeCell ref="C26:I26"/>
    <mergeCell ref="K26:L26"/>
    <mergeCell ref="M26:N26"/>
    <mergeCell ref="R26:U26"/>
    <mergeCell ref="C23:I23"/>
    <mergeCell ref="K23:L23"/>
    <mergeCell ref="M23:N23"/>
    <mergeCell ref="R23:U23"/>
    <mergeCell ref="C24:I24"/>
    <mergeCell ref="K24:L24"/>
    <mergeCell ref="R24:U24"/>
    <mergeCell ref="K21:L21"/>
    <mergeCell ref="R21:U21"/>
    <mergeCell ref="C22:I22"/>
    <mergeCell ref="K22:L22"/>
    <mergeCell ref="M22:N22"/>
    <mergeCell ref="R22:U22"/>
    <mergeCell ref="C19:I19"/>
    <mergeCell ref="K19:L19"/>
    <mergeCell ref="M19:N19"/>
    <mergeCell ref="R19:U19"/>
    <mergeCell ref="A20:A24"/>
    <mergeCell ref="C20:I20"/>
    <mergeCell ref="K20:L20"/>
    <mergeCell ref="M20:N20"/>
    <mergeCell ref="R20:U20"/>
    <mergeCell ref="C21:I21"/>
    <mergeCell ref="T15:U15"/>
    <mergeCell ref="A16:U16"/>
    <mergeCell ref="A17:B17"/>
    <mergeCell ref="C17:I18"/>
    <mergeCell ref="J17:J18"/>
    <mergeCell ref="K17:L18"/>
    <mergeCell ref="M17:P17"/>
    <mergeCell ref="R17:U18"/>
    <mergeCell ref="M18:N18"/>
    <mergeCell ref="A12:U12"/>
    <mergeCell ref="A13:K13"/>
    <mergeCell ref="L13:M13"/>
    <mergeCell ref="N13:R13"/>
    <mergeCell ref="A14:U14"/>
    <mergeCell ref="A15:B15"/>
    <mergeCell ref="C15:D15"/>
    <mergeCell ref="H15:I15"/>
    <mergeCell ref="L15:M15"/>
    <mergeCell ref="N15:P15"/>
    <mergeCell ref="A8:Q8"/>
    <mergeCell ref="A9:U9"/>
    <mergeCell ref="A10:C10"/>
    <mergeCell ref="H10:J10"/>
    <mergeCell ref="L10:U10"/>
    <mergeCell ref="A11:C11"/>
    <mergeCell ref="D11:F11"/>
    <mergeCell ref="H11:J11"/>
    <mergeCell ref="L11:M11"/>
    <mergeCell ref="N11:U11"/>
    <mergeCell ref="A1:U1"/>
    <mergeCell ref="A2:U2"/>
    <mergeCell ref="A3:U3"/>
    <mergeCell ref="A4:U4"/>
    <mergeCell ref="A6:Q6"/>
    <mergeCell ref="A7:Q7"/>
  </mergeCells>
  <printOptions/>
  <pageMargins left="0.39375" right="0.7" top="0.75" bottom="0.75" header="0.5118055555555555" footer="0.511805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Ольга</cp:lastModifiedBy>
  <cp:lastPrinted>2023-04-11T10:44:01Z</cp:lastPrinted>
  <dcterms:created xsi:type="dcterms:W3CDTF">2017-10-18T07:52:01Z</dcterms:created>
  <dcterms:modified xsi:type="dcterms:W3CDTF">2023-04-11T10:44:29Z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